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worksheets/sheet1.xml" ContentType="application/vnd.openxmlformats-officedocument.spreadsheetml.worksheet+xml"/>
  <Override PartName="/xl/charts/chart5.xml" ContentType="application/vnd.openxmlformats-officedocument.drawingml.chart+xml"/>
  <Override PartName="/xl/charts/chart6.xml" ContentType="application/vnd.openxmlformats-officedocument.drawingml.chart+xml"/>
  <Override PartName="/xl/worksheets/sheet2.xml" ContentType="application/vnd.openxmlformats-officedocument.spreadsheetml.worksheet+xml"/>
  <Override PartName="/xl/drawings/drawing5.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codeName="ThisWorkbook"/>
  <workbookProtection workbookPassword="96F6" lockStructure="1"/>
  <bookViews>
    <workbookView xWindow="14100" yWindow="780" windowWidth="11136" windowHeight="10236" tabRatio="883"/>
  </bookViews>
  <sheets>
    <sheet name="System Designer" sheetId="44" r:id="rId1"/>
    <sheet name="System Parameter Summary" sheetId="42" r:id="rId2"/>
    <sheet name="Ver130kHz" sheetId="39" state="hidden" r:id="rId3"/>
    <sheet name="Internal Parameter" sheetId="40" state="hidden" r:id="rId4"/>
    <sheet name="Bulk Cap Calculator" sheetId="50" state="hidden" r:id="rId5"/>
    <sheet name="65W Example" sheetId="57" r:id="rId6"/>
    <sheet name="45W Example" sheetId="58" r:id="rId7"/>
  </sheets>
  <definedNames>
    <definedName name="Lm">'System Designer'!$C$60</definedName>
    <definedName name="Naux">'System Designer'!$C$57</definedName>
    <definedName name="NP">'System Designer'!$C$54</definedName>
    <definedName name="NS">'System Designer'!$C$56</definedName>
    <definedName name="_xlnm.Print_Area" localSheetId="6">'45W Example'!$A$1:$R$125</definedName>
    <definedName name="_xlnm.Print_Area" localSheetId="5">'65W Example'!$A$1:$R$122</definedName>
    <definedName name="_xlnm.Print_Area" localSheetId="1">'System Parameter Summary'!$A$1:$S$107</definedName>
    <definedName name="Rcs">'System Designer'!$C$48</definedName>
    <definedName name="Tdead">'System Designer'!$C$24</definedName>
    <definedName name="TR">'System Designer'!$C$62</definedName>
    <definedName name="Vo_max">'System Designer'!$C$9</definedName>
    <definedName name="Vo_min">'System Designer'!$C$10</definedName>
    <definedName name="VOR">'System Designer'!$C$61</definedName>
  </definedNames>
  <calcPr calcId="145621"/>
</workbook>
</file>

<file path=xl/calcChain.xml><?xml version="1.0" encoding="utf-8"?>
<calcChain xmlns="http://schemas.openxmlformats.org/spreadsheetml/2006/main">
  <c r="C57" i="44" l="1"/>
  <c r="W215" i="39" l="1"/>
  <c r="W216" i="39"/>
  <c r="W217" i="39"/>
  <c r="W218" i="39"/>
  <c r="W219" i="39"/>
  <c r="W220" i="39"/>
  <c r="W221" i="39"/>
  <c r="W222" i="39"/>
  <c r="W223" i="39"/>
  <c r="W224" i="39"/>
  <c r="W225" i="39"/>
  <c r="W226" i="39"/>
  <c r="W227" i="39"/>
  <c r="W228" i="39"/>
  <c r="W229" i="39"/>
  <c r="W230" i="39"/>
  <c r="W231" i="39"/>
  <c r="W232" i="39"/>
  <c r="W233" i="39"/>
  <c r="W234" i="39"/>
  <c r="W235" i="39"/>
  <c r="W236" i="39"/>
  <c r="W237" i="39"/>
  <c r="W238" i="39"/>
  <c r="W239" i="39"/>
  <c r="W240" i="39"/>
  <c r="W241" i="39"/>
  <c r="W242" i="39"/>
  <c r="W243" i="39"/>
  <c r="W244" i="39"/>
  <c r="W245" i="39"/>
  <c r="W246" i="39"/>
  <c r="W247" i="39"/>
  <c r="W248" i="39"/>
  <c r="W249" i="39"/>
  <c r="W250" i="39"/>
  <c r="W251" i="39"/>
  <c r="W252" i="39"/>
  <c r="W253" i="39"/>
  <c r="W254" i="39"/>
  <c r="W255" i="39"/>
  <c r="W256" i="39"/>
  <c r="W257" i="39"/>
  <c r="W258" i="39"/>
  <c r="W259" i="39"/>
  <c r="W260" i="39"/>
  <c r="W261" i="39"/>
  <c r="W262" i="39"/>
  <c r="W263" i="39"/>
  <c r="W264" i="39"/>
  <c r="W265" i="39"/>
  <c r="W266" i="39"/>
  <c r="W267" i="39"/>
  <c r="W268" i="39"/>
  <c r="W269" i="39"/>
  <c r="W270" i="39"/>
  <c r="W271" i="39"/>
  <c r="W272" i="39"/>
  <c r="W273" i="39"/>
  <c r="W274" i="39"/>
  <c r="W275" i="39"/>
  <c r="W276" i="39"/>
  <c r="W277" i="39"/>
  <c r="W278" i="39"/>
  <c r="W279" i="39"/>
  <c r="W280" i="39"/>
  <c r="W281" i="39"/>
  <c r="W282" i="39"/>
  <c r="W283" i="39"/>
  <c r="W284" i="39"/>
  <c r="W285" i="39"/>
  <c r="W286" i="39"/>
  <c r="W287" i="39"/>
  <c r="W288" i="39"/>
  <c r="W289" i="39"/>
  <c r="W290" i="39"/>
  <c r="W291" i="39"/>
  <c r="W292" i="39"/>
  <c r="W293" i="39"/>
  <c r="W294" i="39"/>
  <c r="W295" i="39"/>
  <c r="W296" i="39"/>
  <c r="W297" i="39"/>
  <c r="W298" i="39"/>
  <c r="W299" i="39"/>
  <c r="W300" i="39"/>
  <c r="W301" i="39"/>
  <c r="W302" i="39"/>
  <c r="W303" i="39"/>
  <c r="W304" i="39"/>
  <c r="W305" i="39"/>
  <c r="W306" i="39"/>
  <c r="W307" i="39"/>
  <c r="W308" i="39"/>
  <c r="W309" i="39"/>
  <c r="W310" i="39"/>
  <c r="W311" i="39"/>
  <c r="W312" i="39"/>
  <c r="W313" i="39"/>
  <c r="W314" i="39"/>
  <c r="W315" i="39"/>
  <c r="W316" i="39"/>
  <c r="W317" i="39"/>
  <c r="W318" i="39"/>
  <c r="W319" i="39"/>
  <c r="W320" i="39"/>
  <c r="W321" i="39"/>
  <c r="W322" i="39"/>
  <c r="W323" i="39"/>
  <c r="W324" i="39"/>
  <c r="W325" i="39"/>
  <c r="W326" i="39"/>
  <c r="W327" i="39"/>
  <c r="W328" i="39"/>
  <c r="W329" i="39"/>
  <c r="W330" i="39"/>
  <c r="W331" i="39"/>
  <c r="W332" i="39"/>
  <c r="W333" i="39"/>
  <c r="W334" i="39"/>
  <c r="W335" i="39"/>
  <c r="W336" i="39"/>
  <c r="W337" i="39"/>
  <c r="W338" i="39"/>
  <c r="W339" i="39"/>
  <c r="W340" i="39"/>
  <c r="W341" i="39"/>
  <c r="W342" i="39"/>
  <c r="W343" i="39"/>
  <c r="W344" i="39"/>
  <c r="W345" i="39"/>
  <c r="W346" i="39"/>
  <c r="W347" i="39"/>
  <c r="W348" i="39"/>
  <c r="W349" i="39"/>
  <c r="W350" i="39"/>
  <c r="W351" i="39"/>
  <c r="W352" i="39"/>
  <c r="W353" i="39"/>
  <c r="W354" i="39"/>
  <c r="W355" i="39"/>
  <c r="W356" i="39"/>
  <c r="W357" i="39"/>
  <c r="W358" i="39"/>
  <c r="W359" i="39"/>
  <c r="S215" i="39"/>
  <c r="S216" i="39"/>
  <c r="S217" i="39"/>
  <c r="S218" i="39"/>
  <c r="S219" i="39"/>
  <c r="S220" i="39"/>
  <c r="S221" i="39"/>
  <c r="S222" i="39"/>
  <c r="S223" i="39"/>
  <c r="S224" i="39"/>
  <c r="S225" i="39"/>
  <c r="S226" i="39"/>
  <c r="S227" i="39"/>
  <c r="S228" i="39"/>
  <c r="S229" i="39"/>
  <c r="S230" i="39"/>
  <c r="S231" i="39"/>
  <c r="S232" i="39"/>
  <c r="S233" i="39"/>
  <c r="S234" i="39"/>
  <c r="S235" i="39"/>
  <c r="S236" i="39"/>
  <c r="S237" i="39"/>
  <c r="S238" i="39"/>
  <c r="S239" i="39"/>
  <c r="S240" i="39"/>
  <c r="S241" i="39"/>
  <c r="S242" i="39"/>
  <c r="S243" i="39"/>
  <c r="S244" i="39"/>
  <c r="S245" i="39"/>
  <c r="S246" i="39"/>
  <c r="S247" i="39"/>
  <c r="S248" i="39"/>
  <c r="S249" i="39"/>
  <c r="S250" i="39"/>
  <c r="S251" i="39"/>
  <c r="S252" i="39"/>
  <c r="S253" i="39"/>
  <c r="S254" i="39"/>
  <c r="S255" i="39"/>
  <c r="S256" i="39"/>
  <c r="S257" i="39"/>
  <c r="S258" i="39"/>
  <c r="S259" i="39"/>
  <c r="S260" i="39"/>
  <c r="S261" i="39"/>
  <c r="S262" i="39"/>
  <c r="S263" i="39"/>
  <c r="S264" i="39"/>
  <c r="S265" i="39"/>
  <c r="S266" i="39"/>
  <c r="S267" i="39"/>
  <c r="S268" i="39"/>
  <c r="S269" i="39"/>
  <c r="S270" i="39"/>
  <c r="S271" i="39"/>
  <c r="S272" i="39"/>
  <c r="S273" i="39"/>
  <c r="S274" i="39"/>
  <c r="S275" i="39"/>
  <c r="S276" i="39"/>
  <c r="S277" i="39"/>
  <c r="S278" i="39"/>
  <c r="S279" i="39"/>
  <c r="S280" i="39"/>
  <c r="S281" i="39"/>
  <c r="S282" i="39"/>
  <c r="S283" i="39"/>
  <c r="S284" i="39"/>
  <c r="S285" i="39"/>
  <c r="S286" i="39"/>
  <c r="S287" i="39"/>
  <c r="S288" i="39"/>
  <c r="S289" i="39"/>
  <c r="S290" i="39"/>
  <c r="S291" i="39"/>
  <c r="S292" i="39"/>
  <c r="S293" i="39"/>
  <c r="S294" i="39"/>
  <c r="S295" i="39"/>
  <c r="S296" i="39"/>
  <c r="S297" i="39"/>
  <c r="S298" i="39"/>
  <c r="S299" i="39"/>
  <c r="S300" i="39"/>
  <c r="S301" i="39"/>
  <c r="S302" i="39"/>
  <c r="S303" i="39"/>
  <c r="S304" i="39"/>
  <c r="S305" i="39"/>
  <c r="S306" i="39"/>
  <c r="S307" i="39"/>
  <c r="S308" i="39"/>
  <c r="S309" i="39"/>
  <c r="S310" i="39"/>
  <c r="S311" i="39"/>
  <c r="S312" i="39"/>
  <c r="S313" i="39"/>
  <c r="S314" i="39"/>
  <c r="S315" i="39"/>
  <c r="S316" i="39"/>
  <c r="S317" i="39"/>
  <c r="S318" i="39"/>
  <c r="S319" i="39"/>
  <c r="S320" i="39"/>
  <c r="S321" i="39"/>
  <c r="S322" i="39"/>
  <c r="S323" i="39"/>
  <c r="S324" i="39"/>
  <c r="S325" i="39"/>
  <c r="S326" i="39"/>
  <c r="S327" i="39"/>
  <c r="S328" i="39"/>
  <c r="S329" i="39"/>
  <c r="S330" i="39"/>
  <c r="S331" i="39"/>
  <c r="S332" i="39"/>
  <c r="S333" i="39"/>
  <c r="S334" i="39"/>
  <c r="S335" i="39"/>
  <c r="S336" i="39"/>
  <c r="S337" i="39"/>
  <c r="S338" i="39"/>
  <c r="S339" i="39"/>
  <c r="S340" i="39"/>
  <c r="S341" i="39"/>
  <c r="S342" i="39"/>
  <c r="S343" i="39"/>
  <c r="S344" i="39"/>
  <c r="S345" i="39"/>
  <c r="S346" i="39"/>
  <c r="S347" i="39"/>
  <c r="S348" i="39"/>
  <c r="S349" i="39"/>
  <c r="S350" i="39"/>
  <c r="S351" i="39"/>
  <c r="S352" i="39"/>
  <c r="S353" i="39"/>
  <c r="S354" i="39"/>
  <c r="S355" i="39"/>
  <c r="S356" i="39"/>
  <c r="S357" i="39"/>
  <c r="S358" i="39"/>
  <c r="S359" i="39"/>
  <c r="O215" i="39"/>
  <c r="O216" i="39"/>
  <c r="O217" i="39"/>
  <c r="O218" i="39"/>
  <c r="O219" i="39"/>
  <c r="O220" i="39"/>
  <c r="O221" i="39"/>
  <c r="O222" i="39"/>
  <c r="O223" i="39"/>
  <c r="O224" i="39"/>
  <c r="O225" i="39"/>
  <c r="O226" i="39"/>
  <c r="O227" i="39"/>
  <c r="O228" i="39"/>
  <c r="O229" i="39"/>
  <c r="O230" i="39"/>
  <c r="O231" i="39"/>
  <c r="O232" i="39"/>
  <c r="O233" i="39"/>
  <c r="O234" i="39"/>
  <c r="O235" i="39"/>
  <c r="O236" i="39"/>
  <c r="O237" i="39"/>
  <c r="O238" i="39"/>
  <c r="O239" i="39"/>
  <c r="O240" i="39"/>
  <c r="O241" i="39"/>
  <c r="O242" i="39"/>
  <c r="O243" i="39"/>
  <c r="O244" i="39"/>
  <c r="O245" i="39"/>
  <c r="O246" i="39"/>
  <c r="O247" i="39"/>
  <c r="O248" i="39"/>
  <c r="O249" i="39"/>
  <c r="O250" i="39"/>
  <c r="O251" i="39"/>
  <c r="O252" i="39"/>
  <c r="O253" i="39"/>
  <c r="O254" i="39"/>
  <c r="O255" i="39"/>
  <c r="O256" i="39"/>
  <c r="O257" i="39"/>
  <c r="O258" i="39"/>
  <c r="O259" i="39"/>
  <c r="O260" i="39"/>
  <c r="O261" i="39"/>
  <c r="O262" i="39"/>
  <c r="O263" i="39"/>
  <c r="O264" i="39"/>
  <c r="O265" i="39"/>
  <c r="O266" i="39"/>
  <c r="O267" i="39"/>
  <c r="O268" i="39"/>
  <c r="O269" i="39"/>
  <c r="O270" i="39"/>
  <c r="O271" i="39"/>
  <c r="O272" i="39"/>
  <c r="O273" i="39"/>
  <c r="O274" i="39"/>
  <c r="O275" i="39"/>
  <c r="O276" i="39"/>
  <c r="O277" i="39"/>
  <c r="O278" i="39"/>
  <c r="O279" i="39"/>
  <c r="O280" i="39"/>
  <c r="O281" i="39"/>
  <c r="O282" i="39"/>
  <c r="O283" i="39"/>
  <c r="O284" i="39"/>
  <c r="O285" i="39"/>
  <c r="O286" i="39"/>
  <c r="O287" i="39"/>
  <c r="O288" i="39"/>
  <c r="O289" i="39"/>
  <c r="O290" i="39"/>
  <c r="O291" i="39"/>
  <c r="O292" i="39"/>
  <c r="O293" i="39"/>
  <c r="O294" i="39"/>
  <c r="O295" i="39"/>
  <c r="O296" i="39"/>
  <c r="O297" i="39"/>
  <c r="O298" i="39"/>
  <c r="O299" i="39"/>
  <c r="O300" i="39"/>
  <c r="O301" i="39"/>
  <c r="O302" i="39"/>
  <c r="O303" i="39"/>
  <c r="O304" i="39"/>
  <c r="O305" i="39"/>
  <c r="O306" i="39"/>
  <c r="O307" i="39"/>
  <c r="O308" i="39"/>
  <c r="O309" i="39"/>
  <c r="O310" i="39"/>
  <c r="O311" i="39"/>
  <c r="O312" i="39"/>
  <c r="O313" i="39"/>
  <c r="O314" i="39"/>
  <c r="O315" i="39"/>
  <c r="O316" i="39"/>
  <c r="O317" i="39"/>
  <c r="O318" i="39"/>
  <c r="O319" i="39"/>
  <c r="O320" i="39"/>
  <c r="O321" i="39"/>
  <c r="O322" i="39"/>
  <c r="O323" i="39"/>
  <c r="O324" i="39"/>
  <c r="O325" i="39"/>
  <c r="O326" i="39"/>
  <c r="O327" i="39"/>
  <c r="O328" i="39"/>
  <c r="O329" i="39"/>
  <c r="O330" i="39"/>
  <c r="O331" i="39"/>
  <c r="O332" i="39"/>
  <c r="O333" i="39"/>
  <c r="O334" i="39"/>
  <c r="O335" i="39"/>
  <c r="O336" i="39"/>
  <c r="O337" i="39"/>
  <c r="O338" i="39"/>
  <c r="O339" i="39"/>
  <c r="O340" i="39"/>
  <c r="O341" i="39"/>
  <c r="O342" i="39"/>
  <c r="O343" i="39"/>
  <c r="O344" i="39"/>
  <c r="O345" i="39"/>
  <c r="O346" i="39"/>
  <c r="O347" i="39"/>
  <c r="O348" i="39"/>
  <c r="O349" i="39"/>
  <c r="O350" i="39"/>
  <c r="O351" i="39"/>
  <c r="O352" i="39"/>
  <c r="O353" i="39"/>
  <c r="O354" i="39"/>
  <c r="O355" i="39"/>
  <c r="O356" i="39"/>
  <c r="O357" i="39"/>
  <c r="O358" i="39"/>
  <c r="O359" i="39"/>
  <c r="K215" i="39"/>
  <c r="K216" i="39"/>
  <c r="K217" i="39"/>
  <c r="K218" i="39"/>
  <c r="K219" i="39"/>
  <c r="K220" i="39"/>
  <c r="K221" i="39"/>
  <c r="K222" i="39"/>
  <c r="K223" i="39"/>
  <c r="K224" i="39"/>
  <c r="K225" i="39"/>
  <c r="K226" i="39"/>
  <c r="K227" i="39"/>
  <c r="K228" i="39"/>
  <c r="K229" i="39"/>
  <c r="K230" i="39"/>
  <c r="K231" i="39"/>
  <c r="K232" i="39"/>
  <c r="K233" i="39"/>
  <c r="K234" i="39"/>
  <c r="K235" i="39"/>
  <c r="K236" i="39"/>
  <c r="K237" i="39"/>
  <c r="K238" i="39"/>
  <c r="K239" i="39"/>
  <c r="K240" i="39"/>
  <c r="K241" i="39"/>
  <c r="K242" i="39"/>
  <c r="K243" i="39"/>
  <c r="K244" i="39"/>
  <c r="K245" i="39"/>
  <c r="K246" i="39"/>
  <c r="K247" i="39"/>
  <c r="K248" i="39"/>
  <c r="K249" i="39"/>
  <c r="K250" i="39"/>
  <c r="K251" i="39"/>
  <c r="K252" i="39"/>
  <c r="K253" i="39"/>
  <c r="K254" i="39"/>
  <c r="K255" i="39"/>
  <c r="K256" i="39"/>
  <c r="K257" i="39"/>
  <c r="K258" i="39"/>
  <c r="K259" i="39"/>
  <c r="K260" i="39"/>
  <c r="K261" i="39"/>
  <c r="K262" i="39"/>
  <c r="K263" i="39"/>
  <c r="K264" i="39"/>
  <c r="K265" i="39"/>
  <c r="K266" i="39"/>
  <c r="K267" i="39"/>
  <c r="K268" i="39"/>
  <c r="K269" i="39"/>
  <c r="K270" i="39"/>
  <c r="K271" i="39"/>
  <c r="K272" i="39"/>
  <c r="K273" i="39"/>
  <c r="K274" i="39"/>
  <c r="K275" i="39"/>
  <c r="K276" i="39"/>
  <c r="K277" i="39"/>
  <c r="K278" i="39"/>
  <c r="K279" i="39"/>
  <c r="K280" i="39"/>
  <c r="K281" i="39"/>
  <c r="K282" i="39"/>
  <c r="K283" i="39"/>
  <c r="K284" i="39"/>
  <c r="K285" i="39"/>
  <c r="K286" i="39"/>
  <c r="K287" i="39"/>
  <c r="K288" i="39"/>
  <c r="K289" i="39"/>
  <c r="K290" i="39"/>
  <c r="K291" i="39"/>
  <c r="K292" i="39"/>
  <c r="K293" i="39"/>
  <c r="K294" i="39"/>
  <c r="K295" i="39"/>
  <c r="K296" i="39"/>
  <c r="K297" i="39"/>
  <c r="K298" i="39"/>
  <c r="K299" i="39"/>
  <c r="K300" i="39"/>
  <c r="K301" i="39"/>
  <c r="K302" i="39"/>
  <c r="K303" i="39"/>
  <c r="K304" i="39"/>
  <c r="K305" i="39"/>
  <c r="K306" i="39"/>
  <c r="K307" i="39"/>
  <c r="K308" i="39"/>
  <c r="K309" i="39"/>
  <c r="K310" i="39"/>
  <c r="K311" i="39"/>
  <c r="K312" i="39"/>
  <c r="K313" i="39"/>
  <c r="K314" i="39"/>
  <c r="K315" i="39"/>
  <c r="K316" i="39"/>
  <c r="K317" i="39"/>
  <c r="K318" i="39"/>
  <c r="K319" i="39"/>
  <c r="K320" i="39"/>
  <c r="K321" i="39"/>
  <c r="K322" i="39"/>
  <c r="K323" i="39"/>
  <c r="K324" i="39"/>
  <c r="K325" i="39"/>
  <c r="K326" i="39"/>
  <c r="K327" i="39"/>
  <c r="K328" i="39"/>
  <c r="K329" i="39"/>
  <c r="K330" i="39"/>
  <c r="K331" i="39"/>
  <c r="K332" i="39"/>
  <c r="K333" i="39"/>
  <c r="K334" i="39"/>
  <c r="K335" i="39"/>
  <c r="K336" i="39"/>
  <c r="K337" i="39"/>
  <c r="K338" i="39"/>
  <c r="K339" i="39"/>
  <c r="K340" i="39"/>
  <c r="K341" i="39"/>
  <c r="K342" i="39"/>
  <c r="K343" i="39"/>
  <c r="K344" i="39"/>
  <c r="K345" i="39"/>
  <c r="K346" i="39"/>
  <c r="K347" i="39"/>
  <c r="K348" i="39"/>
  <c r="K349" i="39"/>
  <c r="K350" i="39"/>
  <c r="K351" i="39"/>
  <c r="K352" i="39"/>
  <c r="K353" i="39"/>
  <c r="K354" i="39"/>
  <c r="K355" i="39"/>
  <c r="K356" i="39"/>
  <c r="K357" i="39"/>
  <c r="K358" i="39"/>
  <c r="K359" i="39"/>
  <c r="W214" i="39"/>
  <c r="S214" i="39"/>
  <c r="O214" i="39"/>
  <c r="K214" i="39"/>
  <c r="G215" i="39"/>
  <c r="G216" i="39"/>
  <c r="G217" i="39"/>
  <c r="G218" i="39"/>
  <c r="G219" i="39"/>
  <c r="G220" i="39"/>
  <c r="G221" i="39"/>
  <c r="G222" i="39"/>
  <c r="G223" i="39"/>
  <c r="G224" i="39"/>
  <c r="G225" i="39"/>
  <c r="G226" i="39"/>
  <c r="G227" i="39"/>
  <c r="G228" i="39"/>
  <c r="G229" i="39"/>
  <c r="G230" i="39"/>
  <c r="G231" i="39"/>
  <c r="G232" i="39"/>
  <c r="G233" i="39"/>
  <c r="G234" i="39"/>
  <c r="G235" i="39"/>
  <c r="G236" i="39"/>
  <c r="G237" i="39"/>
  <c r="G238" i="39"/>
  <c r="G239" i="39"/>
  <c r="G240" i="39"/>
  <c r="G241" i="39"/>
  <c r="G242" i="39"/>
  <c r="G243" i="39"/>
  <c r="G244" i="39"/>
  <c r="G245" i="39"/>
  <c r="G246" i="39"/>
  <c r="G247" i="39"/>
  <c r="G248" i="39"/>
  <c r="G249" i="39"/>
  <c r="G250" i="39"/>
  <c r="G251" i="39"/>
  <c r="G252" i="39"/>
  <c r="G253" i="39"/>
  <c r="G254" i="39"/>
  <c r="G255" i="39"/>
  <c r="G256" i="39"/>
  <c r="G257" i="39"/>
  <c r="G258" i="39"/>
  <c r="G259" i="39"/>
  <c r="G260" i="39"/>
  <c r="G261" i="39"/>
  <c r="G262" i="39"/>
  <c r="G263" i="39"/>
  <c r="G264" i="39"/>
  <c r="G265" i="39"/>
  <c r="G266" i="39"/>
  <c r="G267" i="39"/>
  <c r="G268" i="39"/>
  <c r="G269" i="39"/>
  <c r="G270" i="39"/>
  <c r="G271" i="39"/>
  <c r="G272" i="39"/>
  <c r="G273" i="39"/>
  <c r="G274" i="39"/>
  <c r="G275" i="39"/>
  <c r="G276" i="39"/>
  <c r="G277" i="39"/>
  <c r="G278" i="39"/>
  <c r="G279" i="39"/>
  <c r="G280" i="39"/>
  <c r="G281" i="39"/>
  <c r="G282" i="39"/>
  <c r="G283" i="39"/>
  <c r="G284" i="39"/>
  <c r="G285" i="39"/>
  <c r="G286" i="39"/>
  <c r="G287" i="39"/>
  <c r="G288" i="39"/>
  <c r="G289" i="39"/>
  <c r="G290" i="39"/>
  <c r="G291" i="39"/>
  <c r="G292" i="39"/>
  <c r="G293" i="39"/>
  <c r="G294" i="39"/>
  <c r="G295" i="39"/>
  <c r="G296" i="39"/>
  <c r="G297" i="39"/>
  <c r="G298" i="39"/>
  <c r="G299" i="39"/>
  <c r="G300" i="39"/>
  <c r="G301" i="39"/>
  <c r="G302" i="39"/>
  <c r="G303" i="39"/>
  <c r="G304" i="39"/>
  <c r="G305" i="39"/>
  <c r="G306" i="39"/>
  <c r="G307" i="39"/>
  <c r="G308" i="39"/>
  <c r="G309" i="39"/>
  <c r="G310" i="39"/>
  <c r="G311" i="39"/>
  <c r="G312" i="39"/>
  <c r="G313" i="39"/>
  <c r="G314" i="39"/>
  <c r="G315" i="39"/>
  <c r="G316" i="39"/>
  <c r="G317" i="39"/>
  <c r="G318" i="39"/>
  <c r="G319" i="39"/>
  <c r="G320" i="39"/>
  <c r="G321" i="39"/>
  <c r="G322" i="39"/>
  <c r="G323" i="39"/>
  <c r="G324" i="39"/>
  <c r="G325" i="39"/>
  <c r="G326" i="39"/>
  <c r="G327" i="39"/>
  <c r="G328" i="39"/>
  <c r="G329" i="39"/>
  <c r="G330" i="39"/>
  <c r="G331" i="39"/>
  <c r="G332" i="39"/>
  <c r="G333" i="39"/>
  <c r="G334" i="39"/>
  <c r="G335" i="39"/>
  <c r="G336" i="39"/>
  <c r="G337" i="39"/>
  <c r="G338" i="39"/>
  <c r="G339" i="39"/>
  <c r="G340" i="39"/>
  <c r="G341" i="39"/>
  <c r="G342" i="39"/>
  <c r="G343" i="39"/>
  <c r="G344" i="39"/>
  <c r="G345" i="39"/>
  <c r="G346" i="39"/>
  <c r="G347" i="39"/>
  <c r="G348" i="39"/>
  <c r="G349" i="39"/>
  <c r="G350" i="39"/>
  <c r="G351" i="39"/>
  <c r="G352" i="39"/>
  <c r="G353" i="39"/>
  <c r="G354" i="39"/>
  <c r="G355" i="39"/>
  <c r="G356" i="39"/>
  <c r="G357" i="39"/>
  <c r="G358" i="39"/>
  <c r="G359" i="39"/>
  <c r="G214" i="39"/>
  <c r="E215" i="39"/>
  <c r="E216" i="39"/>
  <c r="E217" i="39"/>
  <c r="E218" i="39"/>
  <c r="E219" i="39"/>
  <c r="E220" i="39"/>
  <c r="E221" i="39"/>
  <c r="E222" i="39"/>
  <c r="E223" i="39"/>
  <c r="E224" i="39"/>
  <c r="E225" i="39"/>
  <c r="E226" i="39"/>
  <c r="E227" i="39"/>
  <c r="E228" i="39"/>
  <c r="E229" i="39"/>
  <c r="E230" i="39"/>
  <c r="E231" i="39"/>
  <c r="E232" i="39"/>
  <c r="E233" i="39"/>
  <c r="E234" i="39"/>
  <c r="E235" i="39"/>
  <c r="E236" i="39"/>
  <c r="E237" i="39"/>
  <c r="E238" i="39"/>
  <c r="E239" i="39"/>
  <c r="E240" i="39"/>
  <c r="E241" i="39"/>
  <c r="E242" i="39"/>
  <c r="E243" i="39"/>
  <c r="E244" i="39"/>
  <c r="E245" i="39"/>
  <c r="E246" i="39"/>
  <c r="E247" i="39"/>
  <c r="E248" i="39"/>
  <c r="E249" i="39"/>
  <c r="E250" i="39"/>
  <c r="E251" i="39"/>
  <c r="E252" i="39"/>
  <c r="E253" i="39"/>
  <c r="E254" i="39"/>
  <c r="E255" i="39"/>
  <c r="E256" i="39"/>
  <c r="E257" i="39"/>
  <c r="E258" i="39"/>
  <c r="E259" i="39"/>
  <c r="E260" i="39"/>
  <c r="E261" i="39"/>
  <c r="E262" i="39"/>
  <c r="E263" i="39"/>
  <c r="E264" i="39"/>
  <c r="E265" i="39"/>
  <c r="E266" i="39"/>
  <c r="E267" i="39"/>
  <c r="E268" i="39"/>
  <c r="E269" i="39"/>
  <c r="E270" i="39"/>
  <c r="E271" i="39"/>
  <c r="E272" i="39"/>
  <c r="E273" i="39"/>
  <c r="E274" i="39"/>
  <c r="E275" i="39"/>
  <c r="E276" i="39"/>
  <c r="E277" i="39"/>
  <c r="E278" i="39"/>
  <c r="E279" i="39"/>
  <c r="E280" i="39"/>
  <c r="E281" i="39"/>
  <c r="E282" i="39"/>
  <c r="E283" i="39"/>
  <c r="E284" i="39"/>
  <c r="E285" i="39"/>
  <c r="E286" i="39"/>
  <c r="E287" i="39"/>
  <c r="E288" i="39"/>
  <c r="E289" i="39"/>
  <c r="E290" i="39"/>
  <c r="E291" i="39"/>
  <c r="E292" i="39"/>
  <c r="E293" i="39"/>
  <c r="E294" i="39"/>
  <c r="E295" i="39"/>
  <c r="E296" i="39"/>
  <c r="E297" i="39"/>
  <c r="E298" i="39"/>
  <c r="E299" i="39"/>
  <c r="E300" i="39"/>
  <c r="E301" i="39"/>
  <c r="E302" i="39"/>
  <c r="E303" i="39"/>
  <c r="E304" i="39"/>
  <c r="E305" i="39"/>
  <c r="E306" i="39"/>
  <c r="E307" i="39"/>
  <c r="E308" i="39"/>
  <c r="E309" i="39"/>
  <c r="E310" i="39"/>
  <c r="E311" i="39"/>
  <c r="E312" i="39"/>
  <c r="E313" i="39"/>
  <c r="E314" i="39"/>
  <c r="E315" i="39"/>
  <c r="E316" i="39"/>
  <c r="E317" i="39"/>
  <c r="E318" i="39"/>
  <c r="E319" i="39"/>
  <c r="E320" i="39"/>
  <c r="E321" i="39"/>
  <c r="E322" i="39"/>
  <c r="E323" i="39"/>
  <c r="E324" i="39"/>
  <c r="E325" i="39"/>
  <c r="E326" i="39"/>
  <c r="E327" i="39"/>
  <c r="E328" i="39"/>
  <c r="E329" i="39"/>
  <c r="E330" i="39"/>
  <c r="E331" i="39"/>
  <c r="E332" i="39"/>
  <c r="E333" i="39"/>
  <c r="E334" i="39"/>
  <c r="E335" i="39"/>
  <c r="E336" i="39"/>
  <c r="E337" i="39"/>
  <c r="E338" i="39"/>
  <c r="E339" i="39"/>
  <c r="E340" i="39"/>
  <c r="E341" i="39"/>
  <c r="E342" i="39"/>
  <c r="E343" i="39"/>
  <c r="E344" i="39"/>
  <c r="E345" i="39"/>
  <c r="E346" i="39"/>
  <c r="E347" i="39"/>
  <c r="E348" i="39"/>
  <c r="E349" i="39"/>
  <c r="E350" i="39"/>
  <c r="E351" i="39"/>
  <c r="E352" i="39"/>
  <c r="E353" i="39"/>
  <c r="E354" i="39"/>
  <c r="E355" i="39"/>
  <c r="E356" i="39"/>
  <c r="E357" i="39"/>
  <c r="E358" i="39"/>
  <c r="E359" i="39"/>
  <c r="E214" i="39"/>
  <c r="G60" i="39"/>
  <c r="K60" i="39"/>
  <c r="W60" i="39"/>
  <c r="S60" i="39"/>
  <c r="O60" i="39"/>
  <c r="X59" i="39"/>
  <c r="T59" i="39"/>
  <c r="P59" i="39"/>
  <c r="L59" i="39"/>
  <c r="W212" i="39"/>
  <c r="S212" i="39"/>
  <c r="O212" i="39"/>
  <c r="K212" i="39"/>
  <c r="X211" i="39"/>
  <c r="T211" i="39"/>
  <c r="P211" i="39"/>
  <c r="L211" i="39"/>
  <c r="G212" i="39"/>
  <c r="D23" i="39"/>
  <c r="D24" i="39"/>
  <c r="D25" i="39"/>
  <c r="D26" i="39"/>
  <c r="D22" i="39"/>
  <c r="N25" i="44"/>
  <c r="N24" i="44"/>
  <c r="N23" i="44"/>
  <c r="N22" i="44"/>
  <c r="N21" i="44"/>
  <c r="N20" i="44"/>
  <c r="I25" i="44"/>
  <c r="I24" i="44"/>
  <c r="I23" i="44"/>
  <c r="I22" i="44"/>
  <c r="I21" i="44"/>
  <c r="I20" i="44"/>
  <c r="U22" i="44"/>
  <c r="U21" i="44"/>
  <c r="U20" i="44" l="1"/>
  <c r="U23" i="44"/>
  <c r="U24" i="44"/>
  <c r="U25" i="44"/>
  <c r="C31" i="44"/>
  <c r="C21" i="44"/>
  <c r="C22" i="44" s="1"/>
  <c r="O50" i="39" l="1"/>
  <c r="N50" i="39"/>
  <c r="M50" i="39"/>
  <c r="O41" i="39"/>
  <c r="N41" i="39"/>
  <c r="M41" i="39"/>
  <c r="O32" i="39"/>
  <c r="N32" i="39"/>
  <c r="M32" i="39"/>
  <c r="C6" i="39" l="1"/>
  <c r="B5" i="50" l="1"/>
  <c r="B4" i="50"/>
  <c r="B3" i="50"/>
  <c r="B6" i="50" s="1"/>
  <c r="B1" i="50"/>
  <c r="B2" i="50" s="1"/>
  <c r="A26" i="39"/>
  <c r="G26" i="39" s="1"/>
  <c r="A25" i="39"/>
  <c r="G25" i="39" s="1"/>
  <c r="A24" i="39"/>
  <c r="G24" i="39" s="1"/>
  <c r="A23" i="39"/>
  <c r="G23" i="39" s="1"/>
  <c r="A22" i="39"/>
  <c r="D19" i="39"/>
  <c r="B16" i="39"/>
  <c r="I13" i="39"/>
  <c r="D13" i="39"/>
  <c r="F13" i="39" s="1"/>
  <c r="D10" i="39"/>
  <c r="F10" i="39" s="1"/>
  <c r="C10" i="39"/>
  <c r="B26" i="39" s="1"/>
  <c r="D9" i="39"/>
  <c r="F9" i="39" s="1"/>
  <c r="C9" i="39"/>
  <c r="B25" i="39" s="1"/>
  <c r="D8" i="39"/>
  <c r="F8" i="39" s="1"/>
  <c r="C8" i="39"/>
  <c r="B24" i="39" s="1"/>
  <c r="D7" i="39"/>
  <c r="F7" i="39" s="1"/>
  <c r="C7" i="39"/>
  <c r="D6" i="39"/>
  <c r="F6" i="39" s="1"/>
  <c r="B22" i="39"/>
  <c r="G22" i="39" s="1"/>
  <c r="H3" i="39"/>
  <c r="F3" i="39"/>
  <c r="C3" i="39"/>
  <c r="B3" i="39"/>
  <c r="F26" i="42"/>
  <c r="F25" i="42"/>
  <c r="F19" i="42"/>
  <c r="F16" i="42"/>
  <c r="F15" i="42"/>
  <c r="F13" i="42"/>
  <c r="F12" i="42"/>
  <c r="F11" i="42"/>
  <c r="F7" i="42"/>
  <c r="F6" i="42"/>
  <c r="F5" i="42"/>
  <c r="F4" i="42"/>
  <c r="F2" i="42"/>
  <c r="C73" i="44"/>
  <c r="F28" i="42" s="1"/>
  <c r="C66" i="44"/>
  <c r="F21" i="42" s="1"/>
  <c r="C62" i="44"/>
  <c r="C61" i="44"/>
  <c r="C81" i="44" s="1"/>
  <c r="F30" i="42" s="1"/>
  <c r="C58" i="44"/>
  <c r="C20" i="44"/>
  <c r="C32" i="44" s="1"/>
  <c r="C19" i="44"/>
  <c r="C133" i="39" l="1"/>
  <c r="D133" i="39" s="1"/>
  <c r="C254" i="39"/>
  <c r="D254" i="39" s="1"/>
  <c r="C255" i="39"/>
  <c r="D255" i="39" s="1"/>
  <c r="C259" i="39"/>
  <c r="D259" i="39" s="1"/>
  <c r="C260" i="39"/>
  <c r="D260" i="39" s="1"/>
  <c r="C261" i="39"/>
  <c r="D261" i="39" s="1"/>
  <c r="C262" i="39"/>
  <c r="D262" i="39" s="1"/>
  <c r="C264" i="39"/>
  <c r="D264" i="39" s="1"/>
  <c r="C266" i="39"/>
  <c r="D266" i="39" s="1"/>
  <c r="C268" i="39"/>
  <c r="D268" i="39" s="1"/>
  <c r="C270" i="39"/>
  <c r="D270" i="39" s="1"/>
  <c r="C271" i="39"/>
  <c r="D271" i="39" s="1"/>
  <c r="C273" i="39"/>
  <c r="D273" i="39" s="1"/>
  <c r="C275" i="39"/>
  <c r="D275" i="39" s="1"/>
  <c r="C278" i="39"/>
  <c r="D278" i="39" s="1"/>
  <c r="C285" i="39"/>
  <c r="D285" i="39" s="1"/>
  <c r="C286" i="39"/>
  <c r="D286" i="39" s="1"/>
  <c r="C253" i="39"/>
  <c r="D253" i="39" s="1"/>
  <c r="C274" i="39"/>
  <c r="D274" i="39" s="1"/>
  <c r="C282" i="39"/>
  <c r="D282" i="39" s="1"/>
  <c r="C284" i="39"/>
  <c r="D284" i="39" s="1"/>
  <c r="C289" i="39"/>
  <c r="D289" i="39" s="1"/>
  <c r="C252" i="39"/>
  <c r="D252" i="39" s="1"/>
  <c r="C257" i="39"/>
  <c r="D257" i="39" s="1"/>
  <c r="C263" i="39"/>
  <c r="D263" i="39" s="1"/>
  <c r="C265" i="39"/>
  <c r="D265" i="39" s="1"/>
  <c r="C267" i="39"/>
  <c r="D267" i="39" s="1"/>
  <c r="C269" i="39"/>
  <c r="D269" i="39" s="1"/>
  <c r="C272" i="39"/>
  <c r="D272" i="39" s="1"/>
  <c r="C276" i="39"/>
  <c r="D276" i="39" s="1"/>
  <c r="C277" i="39"/>
  <c r="D277" i="39" s="1"/>
  <c r="C281" i="39"/>
  <c r="D281" i="39" s="1"/>
  <c r="C287" i="39"/>
  <c r="D287" i="39" s="1"/>
  <c r="C288" i="39"/>
  <c r="D288" i="39" s="1"/>
  <c r="C256" i="39"/>
  <c r="D256" i="39" s="1"/>
  <c r="C258" i="39"/>
  <c r="D258" i="39" s="1"/>
  <c r="C279" i="39"/>
  <c r="D279" i="39" s="1"/>
  <c r="C280" i="39"/>
  <c r="D280" i="39" s="1"/>
  <c r="C283" i="39"/>
  <c r="D283" i="39" s="1"/>
  <c r="C292" i="39"/>
  <c r="D292" i="39" s="1"/>
  <c r="C293" i="39"/>
  <c r="D293" i="39" s="1"/>
  <c r="C294" i="39"/>
  <c r="D294" i="39" s="1"/>
  <c r="C296" i="39"/>
  <c r="D296" i="39" s="1"/>
  <c r="C297" i="39"/>
  <c r="D297" i="39" s="1"/>
  <c r="C298" i="39"/>
  <c r="D298" i="39" s="1"/>
  <c r="C303" i="39"/>
  <c r="D303" i="39" s="1"/>
  <c r="C306" i="39"/>
  <c r="D306" i="39" s="1"/>
  <c r="C307" i="39"/>
  <c r="D307" i="39" s="1"/>
  <c r="C309" i="39"/>
  <c r="D309" i="39" s="1"/>
  <c r="C310" i="39"/>
  <c r="D310" i="39" s="1"/>
  <c r="C311" i="39"/>
  <c r="D311" i="39" s="1"/>
  <c r="C317" i="39"/>
  <c r="D317" i="39" s="1"/>
  <c r="C322" i="39"/>
  <c r="D322" i="39" s="1"/>
  <c r="C330" i="39"/>
  <c r="D330" i="39" s="1"/>
  <c r="C338" i="39"/>
  <c r="D338" i="39" s="1"/>
  <c r="C343" i="39"/>
  <c r="D343" i="39" s="1"/>
  <c r="C353" i="39"/>
  <c r="D353" i="39" s="1"/>
  <c r="C356" i="39"/>
  <c r="D356" i="39" s="1"/>
  <c r="C299" i="39"/>
  <c r="D299" i="39" s="1"/>
  <c r="C300" i="39"/>
  <c r="D300" i="39" s="1"/>
  <c r="C301" i="39"/>
  <c r="D301" i="39" s="1"/>
  <c r="C302" i="39"/>
  <c r="D302" i="39" s="1"/>
  <c r="C312" i="39"/>
  <c r="D312" i="39" s="1"/>
  <c r="C315" i="39"/>
  <c r="D315" i="39" s="1"/>
  <c r="C316" i="39"/>
  <c r="D316" i="39" s="1"/>
  <c r="C319" i="39"/>
  <c r="D319" i="39" s="1"/>
  <c r="C321" i="39"/>
  <c r="D321" i="39" s="1"/>
  <c r="C326" i="39"/>
  <c r="D326" i="39" s="1"/>
  <c r="C336" i="39"/>
  <c r="D336" i="39" s="1"/>
  <c r="C340" i="39"/>
  <c r="D340" i="39" s="1"/>
  <c r="C342" i="39"/>
  <c r="D342" i="39" s="1"/>
  <c r="C348" i="39"/>
  <c r="D348" i="39" s="1"/>
  <c r="C349" i="39"/>
  <c r="D349" i="39" s="1"/>
  <c r="C352" i="39"/>
  <c r="D352" i="39" s="1"/>
  <c r="C354" i="39"/>
  <c r="D354" i="39" s="1"/>
  <c r="C355" i="39"/>
  <c r="D355" i="39" s="1"/>
  <c r="C357" i="39"/>
  <c r="D357" i="39" s="1"/>
  <c r="C359" i="39"/>
  <c r="D359" i="39" s="1"/>
  <c r="C291" i="39"/>
  <c r="D291" i="39" s="1"/>
  <c r="C305" i="39"/>
  <c r="D305" i="39" s="1"/>
  <c r="C308" i="39"/>
  <c r="D308" i="39" s="1"/>
  <c r="C290" i="39"/>
  <c r="D290" i="39" s="1"/>
  <c r="C295" i="39"/>
  <c r="D295" i="39" s="1"/>
  <c r="C304" i="39"/>
  <c r="D304" i="39" s="1"/>
  <c r="C313" i="39"/>
  <c r="D313" i="39" s="1"/>
  <c r="C318" i="39"/>
  <c r="D318" i="39" s="1"/>
  <c r="C320" i="39"/>
  <c r="D320" i="39" s="1"/>
  <c r="C324" i="39"/>
  <c r="D324" i="39" s="1"/>
  <c r="C325" i="39"/>
  <c r="D325" i="39" s="1"/>
  <c r="C331" i="39"/>
  <c r="D331" i="39" s="1"/>
  <c r="C332" i="39"/>
  <c r="D332" i="39" s="1"/>
  <c r="C334" i="39"/>
  <c r="D334" i="39" s="1"/>
  <c r="C337" i="39"/>
  <c r="D337" i="39" s="1"/>
  <c r="C344" i="39"/>
  <c r="D344" i="39" s="1"/>
  <c r="C345" i="39"/>
  <c r="D345" i="39" s="1"/>
  <c r="C328" i="39"/>
  <c r="D328" i="39" s="1"/>
  <c r="C335" i="39"/>
  <c r="D335" i="39" s="1"/>
  <c r="C346" i="39"/>
  <c r="D346" i="39" s="1"/>
  <c r="C350" i="39"/>
  <c r="D350" i="39" s="1"/>
  <c r="C314" i="39"/>
  <c r="D314" i="39" s="1"/>
  <c r="C329" i="39"/>
  <c r="D329" i="39" s="1"/>
  <c r="C339" i="39"/>
  <c r="D339" i="39" s="1"/>
  <c r="C347" i="39"/>
  <c r="D347" i="39" s="1"/>
  <c r="C351" i="39"/>
  <c r="D351" i="39" s="1"/>
  <c r="C358" i="39"/>
  <c r="D358" i="39" s="1"/>
  <c r="C323" i="39"/>
  <c r="D323" i="39" s="1"/>
  <c r="C327" i="39"/>
  <c r="D327" i="39" s="1"/>
  <c r="C333" i="39"/>
  <c r="D333" i="39" s="1"/>
  <c r="C341" i="39"/>
  <c r="D341" i="39" s="1"/>
  <c r="C26" i="44"/>
  <c r="C25" i="44"/>
  <c r="C28" i="44"/>
  <c r="C29" i="44"/>
  <c r="C30" i="44"/>
  <c r="C27" i="44"/>
  <c r="G3" i="39" s="1"/>
  <c r="C37" i="44"/>
  <c r="C33" i="44"/>
  <c r="C34" i="44" s="1"/>
  <c r="L3" i="39"/>
  <c r="K9" i="39" s="1"/>
  <c r="B7" i="50"/>
  <c r="F14" i="42"/>
  <c r="D3" i="39"/>
  <c r="C24" i="39" s="1"/>
  <c r="C59" i="44"/>
  <c r="C70" i="44"/>
  <c r="C55" i="44"/>
  <c r="B8" i="50"/>
  <c r="B10" i="50" s="1"/>
  <c r="C14" i="44" s="1"/>
  <c r="C15" i="44" s="1"/>
  <c r="F8" i="42" s="1"/>
  <c r="B9" i="50"/>
  <c r="F17" i="42"/>
  <c r="C67" i="44"/>
  <c r="C78" i="44"/>
  <c r="F29" i="42" s="1"/>
  <c r="G7" i="39"/>
  <c r="G10" i="39"/>
  <c r="B23" i="39"/>
  <c r="G9" i="39"/>
  <c r="G6" i="39"/>
  <c r="C117" i="39"/>
  <c r="D117" i="39" s="1"/>
  <c r="H13" i="39"/>
  <c r="G8" i="39"/>
  <c r="C207" i="39"/>
  <c r="D207" i="39" s="1"/>
  <c r="C205" i="39"/>
  <c r="D205" i="39" s="1"/>
  <c r="C206" i="39"/>
  <c r="D206" i="39" s="1"/>
  <c r="C203" i="39"/>
  <c r="D203" i="39" s="1"/>
  <c r="C198" i="39"/>
  <c r="D198" i="39" s="1"/>
  <c r="C201" i="39"/>
  <c r="D201" i="39" s="1"/>
  <c r="C204" i="39"/>
  <c r="D204" i="39" s="1"/>
  <c r="C199" i="39"/>
  <c r="D199" i="39" s="1"/>
  <c r="C196" i="39"/>
  <c r="D196" i="39" s="1"/>
  <c r="C193" i="39"/>
  <c r="D193" i="39" s="1"/>
  <c r="C188" i="39"/>
  <c r="D188" i="39" s="1"/>
  <c r="C200" i="39"/>
  <c r="D200" i="39" s="1"/>
  <c r="C194" i="39"/>
  <c r="D194" i="39" s="1"/>
  <c r="C202" i="39"/>
  <c r="D202" i="39" s="1"/>
  <c r="C192" i="39"/>
  <c r="D192" i="39" s="1"/>
  <c r="C189" i="39"/>
  <c r="D189" i="39" s="1"/>
  <c r="C186" i="39"/>
  <c r="D186" i="39" s="1"/>
  <c r="C183" i="39"/>
  <c r="D183" i="39" s="1"/>
  <c r="C181" i="39"/>
  <c r="D181" i="39" s="1"/>
  <c r="C179" i="39"/>
  <c r="D179" i="39" s="1"/>
  <c r="C177" i="39"/>
  <c r="D177" i="39" s="1"/>
  <c r="C175" i="39"/>
  <c r="D175" i="39" s="1"/>
  <c r="C173" i="39"/>
  <c r="D173" i="39" s="1"/>
  <c r="C171" i="39"/>
  <c r="D171" i="39" s="1"/>
  <c r="C197" i="39"/>
  <c r="D197" i="39" s="1"/>
  <c r="C187" i="39"/>
  <c r="D187" i="39" s="1"/>
  <c r="C174" i="39"/>
  <c r="D174" i="39" s="1"/>
  <c r="C185" i="39"/>
  <c r="D185" i="39" s="1"/>
  <c r="C184" i="39"/>
  <c r="D184" i="39" s="1"/>
  <c r="C180" i="39"/>
  <c r="D180" i="39" s="1"/>
  <c r="C172" i="39"/>
  <c r="D172" i="39" s="1"/>
  <c r="C169" i="39"/>
  <c r="D169" i="39" s="1"/>
  <c r="C167" i="39"/>
  <c r="D167" i="39" s="1"/>
  <c r="C165" i="39"/>
  <c r="D165" i="39" s="1"/>
  <c r="C163" i="39"/>
  <c r="D163" i="39" s="1"/>
  <c r="C161" i="39"/>
  <c r="D161" i="39" s="1"/>
  <c r="C159" i="39"/>
  <c r="D159" i="39" s="1"/>
  <c r="C157" i="39"/>
  <c r="D157" i="39" s="1"/>
  <c r="C155" i="39"/>
  <c r="D155" i="39" s="1"/>
  <c r="C153" i="39"/>
  <c r="D153" i="39" s="1"/>
  <c r="C151" i="39"/>
  <c r="D151" i="39" s="1"/>
  <c r="C149" i="39"/>
  <c r="D149" i="39" s="1"/>
  <c r="C147" i="39"/>
  <c r="D147" i="39" s="1"/>
  <c r="C145" i="39"/>
  <c r="D145" i="39" s="1"/>
  <c r="C191" i="39"/>
  <c r="D191" i="39" s="1"/>
  <c r="C178" i="39"/>
  <c r="D178" i="39" s="1"/>
  <c r="C182" i="39"/>
  <c r="D182" i="39" s="1"/>
  <c r="C176" i="39"/>
  <c r="D176" i="39" s="1"/>
  <c r="C168" i="39"/>
  <c r="D168" i="39" s="1"/>
  <c r="C164" i="39"/>
  <c r="D164" i="39" s="1"/>
  <c r="C160" i="39"/>
  <c r="D160" i="39" s="1"/>
  <c r="C156" i="39"/>
  <c r="D156" i="39" s="1"/>
  <c r="C152" i="39"/>
  <c r="D152" i="39" s="1"/>
  <c r="C148" i="39"/>
  <c r="D148" i="39" s="1"/>
  <c r="C195" i="39"/>
  <c r="D195" i="39" s="1"/>
  <c r="C190" i="39"/>
  <c r="D190" i="39" s="1"/>
  <c r="C162" i="39"/>
  <c r="D162" i="39" s="1"/>
  <c r="C154" i="39"/>
  <c r="D154" i="39" s="1"/>
  <c r="C146" i="39"/>
  <c r="D146" i="39" s="1"/>
  <c r="C143" i="39"/>
  <c r="D143" i="39" s="1"/>
  <c r="C140" i="39"/>
  <c r="D140" i="39" s="1"/>
  <c r="C170" i="39"/>
  <c r="D170" i="39" s="1"/>
  <c r="C141" i="39"/>
  <c r="D141" i="39" s="1"/>
  <c r="C138" i="39"/>
  <c r="D138" i="39" s="1"/>
  <c r="C136" i="39"/>
  <c r="D136" i="39" s="1"/>
  <c r="C134" i="39"/>
  <c r="D134" i="39" s="1"/>
  <c r="C132" i="39"/>
  <c r="D132" i="39" s="1"/>
  <c r="C130" i="39"/>
  <c r="D130" i="39" s="1"/>
  <c r="C128" i="39"/>
  <c r="D128" i="39" s="1"/>
  <c r="C126" i="39"/>
  <c r="D126" i="39" s="1"/>
  <c r="C124" i="39"/>
  <c r="D124" i="39" s="1"/>
  <c r="C122" i="39"/>
  <c r="D122" i="39" s="1"/>
  <c r="C120" i="39"/>
  <c r="D120" i="39" s="1"/>
  <c r="C118" i="39"/>
  <c r="D118" i="39" s="1"/>
  <c r="C116" i="39"/>
  <c r="D116" i="39" s="1"/>
  <c r="C114" i="39"/>
  <c r="D114" i="39" s="1"/>
  <c r="C112" i="39"/>
  <c r="D112" i="39" s="1"/>
  <c r="C110" i="39"/>
  <c r="D110" i="39" s="1"/>
  <c r="C108" i="39"/>
  <c r="D108" i="39" s="1"/>
  <c r="C106" i="39"/>
  <c r="D106" i="39" s="1"/>
  <c r="C166" i="39"/>
  <c r="D166" i="39" s="1"/>
  <c r="C158" i="39"/>
  <c r="D158" i="39" s="1"/>
  <c r="C150" i="39"/>
  <c r="D150" i="39" s="1"/>
  <c r="C139" i="39"/>
  <c r="D139" i="39" s="1"/>
  <c r="C144" i="39"/>
  <c r="D144" i="39" s="1"/>
  <c r="C135" i="39"/>
  <c r="D135" i="39" s="1"/>
  <c r="C127" i="39"/>
  <c r="D127" i="39" s="1"/>
  <c r="C119" i="39"/>
  <c r="D119" i="39" s="1"/>
  <c r="C111" i="39"/>
  <c r="D111" i="39" s="1"/>
  <c r="C105" i="39"/>
  <c r="D105" i="39" s="1"/>
  <c r="C103" i="39"/>
  <c r="D103" i="39" s="1"/>
  <c r="C101" i="39"/>
  <c r="D101" i="39" s="1"/>
  <c r="C137" i="39"/>
  <c r="D137" i="39" s="1"/>
  <c r="C129" i="39"/>
  <c r="D129" i="39" s="1"/>
  <c r="C121" i="39"/>
  <c r="D121" i="39" s="1"/>
  <c r="C113" i="39"/>
  <c r="D113" i="39" s="1"/>
  <c r="C109" i="39"/>
  <c r="D109" i="39" s="1"/>
  <c r="C142" i="39"/>
  <c r="D142" i="39" s="1"/>
  <c r="C131" i="39"/>
  <c r="D131" i="39" s="1"/>
  <c r="C123" i="39"/>
  <c r="D123" i="39" s="1"/>
  <c r="C115" i="39"/>
  <c r="D115" i="39" s="1"/>
  <c r="C104" i="39"/>
  <c r="D104" i="39" s="1"/>
  <c r="C102" i="39"/>
  <c r="D102" i="39" s="1"/>
  <c r="C100" i="39"/>
  <c r="D100" i="39" s="1"/>
  <c r="C107" i="39"/>
  <c r="D107" i="39" s="1"/>
  <c r="C125" i="39"/>
  <c r="D125" i="39" s="1"/>
  <c r="C219" i="39" l="1"/>
  <c r="D219" i="39" s="1"/>
  <c r="C222" i="39"/>
  <c r="D222" i="39" s="1"/>
  <c r="C233" i="39"/>
  <c r="D233" i="39" s="1"/>
  <c r="C234" i="39"/>
  <c r="D234" i="39" s="1"/>
  <c r="C237" i="39"/>
  <c r="D237" i="39" s="1"/>
  <c r="C239" i="39"/>
  <c r="D239" i="39" s="1"/>
  <c r="C241" i="39"/>
  <c r="D241" i="39" s="1"/>
  <c r="C246" i="39"/>
  <c r="D246" i="39" s="1"/>
  <c r="C249" i="39"/>
  <c r="D249" i="39" s="1"/>
  <c r="C216" i="39"/>
  <c r="D216" i="39" s="1"/>
  <c r="C229" i="39"/>
  <c r="D229" i="39" s="1"/>
  <c r="C236" i="39"/>
  <c r="D236" i="39" s="1"/>
  <c r="C242" i="39"/>
  <c r="D242" i="39" s="1"/>
  <c r="C244" i="39"/>
  <c r="D244" i="39" s="1"/>
  <c r="C245" i="39"/>
  <c r="D245" i="39" s="1"/>
  <c r="C248" i="39"/>
  <c r="D248" i="39" s="1"/>
  <c r="C217" i="39"/>
  <c r="D217" i="39" s="1"/>
  <c r="C218" i="39"/>
  <c r="D218" i="39" s="1"/>
  <c r="C220" i="39"/>
  <c r="D220" i="39" s="1"/>
  <c r="C221" i="39"/>
  <c r="D221" i="39" s="1"/>
  <c r="C223" i="39"/>
  <c r="D223" i="39" s="1"/>
  <c r="C225" i="39"/>
  <c r="D225" i="39" s="1"/>
  <c r="C228" i="39"/>
  <c r="D228" i="39" s="1"/>
  <c r="C231" i="39"/>
  <c r="D231" i="39" s="1"/>
  <c r="C235" i="39"/>
  <c r="D235" i="39" s="1"/>
  <c r="C238" i="39"/>
  <c r="D238" i="39" s="1"/>
  <c r="C224" i="39"/>
  <c r="D224" i="39" s="1"/>
  <c r="C226" i="39"/>
  <c r="D226" i="39" s="1"/>
  <c r="C227" i="39"/>
  <c r="D227" i="39" s="1"/>
  <c r="C230" i="39"/>
  <c r="D230" i="39" s="1"/>
  <c r="C232" i="39"/>
  <c r="D232" i="39" s="1"/>
  <c r="C240" i="39"/>
  <c r="D240" i="39" s="1"/>
  <c r="C243" i="39"/>
  <c r="D243" i="39" s="1"/>
  <c r="C247" i="39"/>
  <c r="D247" i="39" s="1"/>
  <c r="C250" i="39"/>
  <c r="D250" i="39" s="1"/>
  <c r="C251" i="39"/>
  <c r="D251" i="39" s="1"/>
  <c r="C215" i="39"/>
  <c r="D215" i="39" s="1"/>
  <c r="C214" i="39"/>
  <c r="D214" i="39" s="1"/>
  <c r="K7" i="39"/>
  <c r="L9" i="39"/>
  <c r="K6" i="39"/>
  <c r="J7" i="39"/>
  <c r="L7" i="39"/>
  <c r="L10" i="39"/>
  <c r="K8" i="39"/>
  <c r="L8" i="39"/>
  <c r="J10" i="39"/>
  <c r="J8" i="39"/>
  <c r="J9" i="39"/>
  <c r="K10" i="39"/>
  <c r="J6" i="39"/>
  <c r="L6" i="39"/>
  <c r="C25" i="39"/>
  <c r="F25" i="39" s="1"/>
  <c r="C26" i="39"/>
  <c r="E26" i="39" s="1"/>
  <c r="C22" i="39"/>
  <c r="F22" i="39" s="1"/>
  <c r="I3" i="39"/>
  <c r="C68" i="44"/>
  <c r="F22" i="42" s="1"/>
  <c r="F20" i="42"/>
  <c r="C23" i="39"/>
  <c r="F23" i="39" s="1"/>
  <c r="C99" i="39"/>
  <c r="D99" i="39" s="1"/>
  <c r="C97" i="39"/>
  <c r="D97" i="39" s="1"/>
  <c r="C95" i="39"/>
  <c r="D95" i="39" s="1"/>
  <c r="C93" i="39"/>
  <c r="D93" i="39" s="1"/>
  <c r="C91" i="39"/>
  <c r="D91" i="39" s="1"/>
  <c r="C89" i="39"/>
  <c r="D89" i="39" s="1"/>
  <c r="C87" i="39"/>
  <c r="D87" i="39" s="1"/>
  <c r="C85" i="39"/>
  <c r="D85" i="39" s="1"/>
  <c r="C83" i="39"/>
  <c r="D83" i="39" s="1"/>
  <c r="C81" i="39"/>
  <c r="D81" i="39" s="1"/>
  <c r="C79" i="39"/>
  <c r="D79" i="39" s="1"/>
  <c r="C77" i="39"/>
  <c r="D77" i="39" s="1"/>
  <c r="C75" i="39"/>
  <c r="D75" i="39" s="1"/>
  <c r="C98" i="39"/>
  <c r="D98" i="39" s="1"/>
  <c r="C96" i="39"/>
  <c r="D96" i="39" s="1"/>
  <c r="C94" i="39"/>
  <c r="D94" i="39" s="1"/>
  <c r="C92" i="39"/>
  <c r="D92" i="39" s="1"/>
  <c r="C90" i="39"/>
  <c r="D90" i="39" s="1"/>
  <c r="C88" i="39"/>
  <c r="D88" i="39" s="1"/>
  <c r="C86" i="39"/>
  <c r="D86" i="39" s="1"/>
  <c r="C84" i="39"/>
  <c r="D84" i="39" s="1"/>
  <c r="C82" i="39"/>
  <c r="D82" i="39" s="1"/>
  <c r="C80" i="39"/>
  <c r="D80" i="39" s="1"/>
  <c r="C78" i="39"/>
  <c r="D78" i="39" s="1"/>
  <c r="C76" i="39"/>
  <c r="D76" i="39" s="1"/>
  <c r="C74" i="39"/>
  <c r="D74" i="39" s="1"/>
  <c r="C73" i="39"/>
  <c r="D73" i="39" s="1"/>
  <c r="C71" i="39"/>
  <c r="D71" i="39" s="1"/>
  <c r="C69" i="39"/>
  <c r="D69" i="39" s="1"/>
  <c r="C67" i="39"/>
  <c r="D67" i="39" s="1"/>
  <c r="C65" i="39"/>
  <c r="D65" i="39" s="1"/>
  <c r="C63" i="39"/>
  <c r="D63" i="39" s="1"/>
  <c r="C72" i="39"/>
  <c r="D72" i="39" s="1"/>
  <c r="C70" i="39"/>
  <c r="D70" i="39" s="1"/>
  <c r="C68" i="39"/>
  <c r="D68" i="39" s="1"/>
  <c r="C66" i="39"/>
  <c r="D66" i="39" s="1"/>
  <c r="C64" i="39"/>
  <c r="D64" i="39" s="1"/>
  <c r="C62" i="39"/>
  <c r="D62" i="39" s="1"/>
  <c r="F24" i="39"/>
  <c r="E24" i="39"/>
  <c r="H7" i="39" l="1"/>
  <c r="I7" i="39" s="1"/>
  <c r="E25" i="39"/>
  <c r="F26" i="39"/>
  <c r="E22" i="39"/>
  <c r="E23" i="39"/>
  <c r="H8" i="39" l="1"/>
  <c r="I8" i="39" s="1"/>
  <c r="O108" i="39" s="1"/>
  <c r="H9" i="39"/>
  <c r="I9" i="39" s="1"/>
  <c r="H6" i="39"/>
  <c r="I6" i="39" s="1"/>
  <c r="E83" i="39" s="1"/>
  <c r="H10" i="39"/>
  <c r="I10" i="39" s="1"/>
  <c r="O129" i="39"/>
  <c r="K133" i="39"/>
  <c r="K149" i="39"/>
  <c r="K182" i="39"/>
  <c r="K201" i="39"/>
  <c r="K105" i="39"/>
  <c r="K158" i="39"/>
  <c r="K165" i="39"/>
  <c r="K124" i="39"/>
  <c r="K195" i="39"/>
  <c r="K155" i="39"/>
  <c r="K103" i="39"/>
  <c r="K185" i="39"/>
  <c r="K117" i="39"/>
  <c r="K202" i="39"/>
  <c r="K110" i="39"/>
  <c r="K163" i="39"/>
  <c r="K189" i="39"/>
  <c r="K107" i="39"/>
  <c r="K203" i="39"/>
  <c r="K123" i="39"/>
  <c r="K114" i="39"/>
  <c r="K128" i="39"/>
  <c r="K138" i="39"/>
  <c r="K112" i="39"/>
  <c r="K106" i="39"/>
  <c r="K191" i="39"/>
  <c r="K129" i="39"/>
  <c r="K186" i="39"/>
  <c r="K80" i="39"/>
  <c r="K98" i="39"/>
  <c r="K84" i="39"/>
  <c r="K91" i="39"/>
  <c r="K87" i="39"/>
  <c r="K89" i="39"/>
  <c r="K63" i="39"/>
  <c r="K94" i="39"/>
  <c r="K68" i="39"/>
  <c r="K81" i="39"/>
  <c r="K79" i="39"/>
  <c r="K92" i="39"/>
  <c r="K99" i="39"/>
  <c r="K62" i="39"/>
  <c r="K64" i="39"/>
  <c r="K77" i="39"/>
  <c r="K88" i="39"/>
  <c r="K193" i="39"/>
  <c r="K121" i="39"/>
  <c r="K159" i="39"/>
  <c r="K181" i="39"/>
  <c r="K196" i="39"/>
  <c r="K166" i="39"/>
  <c r="K152" i="39"/>
  <c r="K125" i="39"/>
  <c r="K109" i="39"/>
  <c r="K82" i="39"/>
  <c r="K96" i="39"/>
  <c r="K93" i="39"/>
  <c r="K134" i="39"/>
  <c r="K119" i="39"/>
  <c r="K187" i="39"/>
  <c r="K173" i="39"/>
  <c r="K147" i="39"/>
  <c r="K148" i="39"/>
  <c r="K102" i="39"/>
  <c r="K116" i="39"/>
  <c r="K146" i="39"/>
  <c r="K143" i="39"/>
  <c r="K169" i="39"/>
  <c r="K171" i="39"/>
  <c r="K180" i="39"/>
  <c r="K142" i="39"/>
  <c r="K160" i="39"/>
  <c r="K153" i="39"/>
  <c r="K140" i="39"/>
  <c r="K179" i="39"/>
  <c r="K177" i="39"/>
  <c r="K100" i="39"/>
  <c r="K144" i="39"/>
  <c r="K113" i="39"/>
  <c r="K115" i="39"/>
  <c r="K139" i="39"/>
  <c r="K162" i="39"/>
  <c r="K197" i="39"/>
  <c r="K97" i="39"/>
  <c r="K71" i="39"/>
  <c r="K192" i="39"/>
  <c r="K131" i="39"/>
  <c r="K176" i="39"/>
  <c r="K137" i="39"/>
  <c r="K76" i="39"/>
  <c r="K66" i="39"/>
  <c r="K205" i="39"/>
  <c r="K135" i="39"/>
  <c r="K183" i="39"/>
  <c r="K164" i="39"/>
  <c r="K141" i="39"/>
  <c r="K118" i="39"/>
  <c r="K188" i="39"/>
  <c r="K199" i="39"/>
  <c r="K108" i="39"/>
  <c r="K111" i="39"/>
  <c r="K145" i="39"/>
  <c r="K156" i="39"/>
  <c r="K178" i="39"/>
  <c r="K206" i="39"/>
  <c r="K132" i="39"/>
  <c r="K130" i="39"/>
  <c r="K150" i="39"/>
  <c r="K161" i="39"/>
  <c r="K120" i="39"/>
  <c r="K194" i="39"/>
  <c r="K104" i="39"/>
  <c r="K184" i="39"/>
  <c r="K101" i="39"/>
  <c r="K136" i="39"/>
  <c r="K207" i="39"/>
  <c r="K167" i="39"/>
  <c r="K70" i="39"/>
  <c r="K72" i="39"/>
  <c r="K75" i="39"/>
  <c r="K73" i="39"/>
  <c r="K74" i="39"/>
  <c r="K69" i="39"/>
  <c r="K78" i="39"/>
  <c r="K85" i="39"/>
  <c r="K95" i="39"/>
  <c r="K175" i="39"/>
  <c r="K204" i="39"/>
  <c r="K154" i="39"/>
  <c r="K126" i="39"/>
  <c r="K157" i="39"/>
  <c r="K174" i="39"/>
  <c r="K172" i="39"/>
  <c r="K200" i="39"/>
  <c r="K168" i="39"/>
  <c r="K170" i="39"/>
  <c r="K127" i="39"/>
  <c r="K190" i="39"/>
  <c r="K151" i="39"/>
  <c r="K122" i="39"/>
  <c r="K198" i="39"/>
  <c r="K65" i="39"/>
  <c r="K83" i="39"/>
  <c r="K90" i="39"/>
  <c r="K86" i="39"/>
  <c r="K67" i="39"/>
  <c r="O147" i="39"/>
  <c r="O135" i="39"/>
  <c r="O96" i="39"/>
  <c r="O163" i="39"/>
  <c r="O165" i="39"/>
  <c r="O175" i="39"/>
  <c r="O86" i="39"/>
  <c r="O79" i="39"/>
  <c r="O166" i="39"/>
  <c r="O177" i="39"/>
  <c r="O112" i="39"/>
  <c r="O77" i="39"/>
  <c r="O90" i="39"/>
  <c r="O140" i="39"/>
  <c r="O100" i="39"/>
  <c r="O151" i="39"/>
  <c r="O127" i="39"/>
  <c r="O123" i="39"/>
  <c r="O182" i="39"/>
  <c r="O118" i="39"/>
  <c r="O145" i="39"/>
  <c r="O95" i="39"/>
  <c r="O68" i="39"/>
  <c r="O63" i="39"/>
  <c r="O152" i="39"/>
  <c r="O185" i="39"/>
  <c r="O124" i="39"/>
  <c r="O168" i="39"/>
  <c r="O119" i="39"/>
  <c r="O206" i="39"/>
  <c r="O134" i="39"/>
  <c r="O196" i="39"/>
  <c r="O138" i="39"/>
  <c r="O133" i="39"/>
  <c r="O178" i="39"/>
  <c r="O149" i="39"/>
  <c r="O205" i="39"/>
  <c r="O69" i="39"/>
  <c r="O89" i="39"/>
  <c r="O73" i="39"/>
  <c r="O91" i="39"/>
  <c r="O72" i="39"/>
  <c r="O98" i="39"/>
  <c r="O109" i="39"/>
  <c r="O184" i="39"/>
  <c r="O179" i="39"/>
  <c r="O146" i="39"/>
  <c r="O191" i="39"/>
  <c r="O139" i="39"/>
  <c r="O102" i="39"/>
  <c r="O148" i="39"/>
  <c r="O198" i="39"/>
  <c r="O156" i="39"/>
  <c r="O160" i="39"/>
  <c r="O173" i="39"/>
  <c r="O158" i="39"/>
  <c r="O180" i="39"/>
  <c r="O107" i="39"/>
  <c r="O113" i="39"/>
  <c r="O116" i="39"/>
  <c r="O174" i="39"/>
  <c r="S86" i="39"/>
  <c r="S109" i="39"/>
  <c r="S85" i="39"/>
  <c r="S66" i="39"/>
  <c r="S81" i="39"/>
  <c r="S62" i="39"/>
  <c r="S92" i="39"/>
  <c r="S107" i="39"/>
  <c r="S65" i="39"/>
  <c r="S137" i="39"/>
  <c r="S133" i="39"/>
  <c r="S123" i="39"/>
  <c r="S143" i="39"/>
  <c r="S203" i="39"/>
  <c r="S172" i="39"/>
  <c r="S159" i="39"/>
  <c r="S207" i="39"/>
  <c r="S179" i="39"/>
  <c r="S160" i="39"/>
  <c r="S206" i="39"/>
  <c r="S104" i="39"/>
  <c r="S191" i="39"/>
  <c r="S101" i="39"/>
  <c r="S171" i="39"/>
  <c r="S141" i="39"/>
  <c r="S155" i="39"/>
  <c r="S102" i="39"/>
  <c r="S180" i="39"/>
  <c r="S201" i="39"/>
  <c r="S184" i="39"/>
  <c r="S100" i="39"/>
  <c r="S161" i="39"/>
  <c r="S150" i="39"/>
  <c r="S174" i="39"/>
  <c r="S105" i="39"/>
  <c r="S165" i="39"/>
  <c r="S183" i="39"/>
  <c r="S202" i="39"/>
  <c r="O64" i="39" l="1"/>
  <c r="O157" i="39"/>
  <c r="O202" i="39"/>
  <c r="O204" i="39"/>
  <c r="O67" i="39"/>
  <c r="O195" i="39"/>
  <c r="O66" i="39"/>
  <c r="O199" i="39"/>
  <c r="O101" i="39"/>
  <c r="O183" i="39"/>
  <c r="O92" i="39"/>
  <c r="O181" i="39"/>
  <c r="O153" i="39"/>
  <c r="O97" i="39"/>
  <c r="E72" i="39"/>
  <c r="W195" i="39"/>
  <c r="E71" i="39"/>
  <c r="O142" i="39"/>
  <c r="E137" i="39"/>
  <c r="O136" i="39"/>
  <c r="O141" i="39"/>
  <c r="O104" i="39"/>
  <c r="O190" i="39"/>
  <c r="O80" i="39"/>
  <c r="O84" i="39"/>
  <c r="O87" i="39"/>
  <c r="O78" i="39"/>
  <c r="O171" i="39"/>
  <c r="O172" i="39"/>
  <c r="O128" i="39"/>
  <c r="O132" i="39"/>
  <c r="O187" i="39"/>
  <c r="O143" i="39"/>
  <c r="O94" i="39"/>
  <c r="O81" i="39"/>
  <c r="O137" i="39"/>
  <c r="O111" i="39"/>
  <c r="O154" i="39"/>
  <c r="O82" i="39"/>
  <c r="O88" i="39"/>
  <c r="O192" i="39"/>
  <c r="O188" i="39"/>
  <c r="O169" i="39"/>
  <c r="O62" i="39"/>
  <c r="O155" i="39"/>
  <c r="O176" i="39"/>
  <c r="O130" i="39"/>
  <c r="O186" i="39"/>
  <c r="O114" i="39"/>
  <c r="O121" i="39"/>
  <c r="O99" i="39"/>
  <c r="O122" i="39"/>
  <c r="O162" i="39"/>
  <c r="O115" i="39"/>
  <c r="O103" i="39"/>
  <c r="O126" i="39"/>
  <c r="O125" i="39"/>
  <c r="O70" i="39"/>
  <c r="O75" i="39"/>
  <c r="O74" i="39"/>
  <c r="O197" i="39"/>
  <c r="O201" i="39"/>
  <c r="O150" i="39"/>
  <c r="O193" i="39"/>
  <c r="O117" i="39"/>
  <c r="O110" i="39"/>
  <c r="O207" i="39"/>
  <c r="O85" i="39"/>
  <c r="O200" i="39"/>
  <c r="O170" i="39"/>
  <c r="O105" i="39"/>
  <c r="O189" i="39"/>
  <c r="O83" i="39"/>
  <c r="O203" i="39"/>
  <c r="O131" i="39"/>
  <c r="O161" i="39"/>
  <c r="O194" i="39"/>
  <c r="O71" i="39"/>
  <c r="O167" i="39"/>
  <c r="O159" i="39"/>
  <c r="O144" i="39"/>
  <c r="O76" i="39"/>
  <c r="O120" i="39"/>
  <c r="O164" i="39"/>
  <c r="O93" i="39"/>
  <c r="O65" i="39"/>
  <c r="S64" i="39"/>
  <c r="C23" i="44"/>
  <c r="C38" i="44" s="1"/>
  <c r="E138" i="39"/>
  <c r="E202" i="39"/>
  <c r="E89" i="39"/>
  <c r="E193" i="39"/>
  <c r="E125" i="39"/>
  <c r="S149" i="39"/>
  <c r="S164" i="39"/>
  <c r="S132" i="39"/>
  <c r="S130" i="39"/>
  <c r="S151" i="39"/>
  <c r="S126" i="39"/>
  <c r="S195" i="39"/>
  <c r="S190" i="39"/>
  <c r="S112" i="39"/>
  <c r="S163" i="39"/>
  <c r="S145" i="39"/>
  <c r="S173" i="39"/>
  <c r="S156" i="39"/>
  <c r="S177" i="39"/>
  <c r="S120" i="39"/>
  <c r="S87" i="39"/>
  <c r="S97" i="39"/>
  <c r="S93" i="39"/>
  <c r="S73" i="39"/>
  <c r="S175" i="39"/>
  <c r="S142" i="39"/>
  <c r="S189" i="39"/>
  <c r="S186" i="39"/>
  <c r="S148" i="39"/>
  <c r="S204" i="39"/>
  <c r="S121" i="39"/>
  <c r="S125" i="39"/>
  <c r="S154" i="39"/>
  <c r="S117" i="39"/>
  <c r="S196" i="39"/>
  <c r="S127" i="39"/>
  <c r="S119" i="39"/>
  <c r="S152" i="39"/>
  <c r="S115" i="39"/>
  <c r="S88" i="39"/>
  <c r="S71" i="39"/>
  <c r="E118" i="39"/>
  <c r="E110" i="39"/>
  <c r="E166" i="39"/>
  <c r="E147" i="39"/>
  <c r="E182" i="39"/>
  <c r="E188" i="39"/>
  <c r="E101" i="39"/>
  <c r="E196" i="39"/>
  <c r="E123" i="39"/>
  <c r="E93" i="39"/>
  <c r="E119" i="39"/>
  <c r="E103" i="39"/>
  <c r="E122" i="39"/>
  <c r="E73" i="39"/>
  <c r="E156" i="39"/>
  <c r="E160" i="39"/>
  <c r="E151" i="39"/>
  <c r="E206" i="39"/>
  <c r="E195" i="39"/>
  <c r="E65" i="39"/>
  <c r="E100" i="39"/>
  <c r="E179" i="39"/>
  <c r="E126" i="39"/>
  <c r="E154" i="39"/>
  <c r="E207" i="39"/>
  <c r="E171" i="39"/>
  <c r="E80" i="39"/>
  <c r="E134" i="39"/>
  <c r="E180" i="39"/>
  <c r="E153" i="39"/>
  <c r="E170" i="39"/>
  <c r="E157" i="39"/>
  <c r="E109" i="39"/>
  <c r="E198" i="39"/>
  <c r="E97" i="39"/>
  <c r="E204" i="39"/>
  <c r="E129" i="39"/>
  <c r="E85" i="39"/>
  <c r="E194" i="39"/>
  <c r="E176" i="39"/>
  <c r="E69" i="39"/>
  <c r="E149" i="39"/>
  <c r="E186" i="39"/>
  <c r="E143" i="39"/>
  <c r="E113" i="39"/>
  <c r="O106" i="39"/>
  <c r="W127" i="39"/>
  <c r="G131" i="39"/>
  <c r="W118" i="39"/>
  <c r="W148" i="39"/>
  <c r="W116" i="39"/>
  <c r="E63" i="39"/>
  <c r="E183" i="39"/>
  <c r="E108" i="39"/>
  <c r="E191" i="39"/>
  <c r="E162" i="39"/>
  <c r="E145" i="39"/>
  <c r="E68" i="39"/>
  <c r="E174" i="39"/>
  <c r="E94" i="39"/>
  <c r="E190" i="39"/>
  <c r="E152" i="39"/>
  <c r="E135" i="39"/>
  <c r="E102" i="39"/>
  <c r="E184" i="39"/>
  <c r="E105" i="39"/>
  <c r="E87" i="39"/>
  <c r="E66" i="39"/>
  <c r="E104" i="39"/>
  <c r="E185" i="39"/>
  <c r="E159" i="39"/>
  <c r="E148" i="39"/>
  <c r="E127" i="39"/>
  <c r="E112" i="39"/>
  <c r="E163" i="39"/>
  <c r="E67" i="39"/>
  <c r="E78" i="39"/>
  <c r="E120" i="39"/>
  <c r="E172" i="39"/>
  <c r="E177" i="39"/>
  <c r="E187" i="39"/>
  <c r="E124" i="39"/>
  <c r="E140" i="39"/>
  <c r="E181" i="39"/>
  <c r="E90" i="39"/>
  <c r="E77" i="39"/>
  <c r="E76" i="39"/>
  <c r="E139" i="39"/>
  <c r="E95" i="39"/>
  <c r="E62" i="39"/>
  <c r="E84" i="39"/>
  <c r="E96" i="39"/>
  <c r="E175" i="39"/>
  <c r="E178" i="39"/>
  <c r="E114" i="39"/>
  <c r="E189" i="39"/>
  <c r="E121" i="39"/>
  <c r="E92" i="39"/>
  <c r="E79" i="39"/>
  <c r="E131" i="39"/>
  <c r="E165" i="39"/>
  <c r="E136" i="39"/>
  <c r="E115" i="39"/>
  <c r="E197" i="39"/>
  <c r="E75" i="39"/>
  <c r="E74" i="39"/>
  <c r="E161" i="39"/>
  <c r="E155" i="39"/>
  <c r="E116" i="39"/>
  <c r="E158" i="39"/>
  <c r="E107" i="39"/>
  <c r="E128" i="39"/>
  <c r="E205" i="39"/>
  <c r="E192" i="39"/>
  <c r="E142" i="39"/>
  <c r="E132" i="39"/>
  <c r="W112" i="39"/>
  <c r="S111" i="39"/>
  <c r="S90" i="39"/>
  <c r="S67" i="39"/>
  <c r="S96" i="39"/>
  <c r="S140" i="39"/>
  <c r="S77" i="39"/>
  <c r="S74" i="39"/>
  <c r="S79" i="39"/>
  <c r="S63" i="39"/>
  <c r="S91" i="39"/>
  <c r="S136" i="39"/>
  <c r="S80" i="39"/>
  <c r="S197" i="39"/>
  <c r="S122" i="39"/>
  <c r="S153" i="39"/>
  <c r="S124" i="39"/>
  <c r="S110" i="39"/>
  <c r="S139" i="39"/>
  <c r="S199" i="39"/>
  <c r="S182" i="39"/>
  <c r="S134" i="39"/>
  <c r="S128" i="39"/>
  <c r="S113" i="39"/>
  <c r="S169" i="39"/>
  <c r="S108" i="39"/>
  <c r="S181" i="39"/>
  <c r="S135" i="39"/>
  <c r="S193" i="39"/>
  <c r="S168" i="39"/>
  <c r="S194" i="39"/>
  <c r="S176" i="39"/>
  <c r="S200" i="39"/>
  <c r="S147" i="39"/>
  <c r="S118" i="39"/>
  <c r="S187" i="39"/>
  <c r="S205" i="39"/>
  <c r="S82" i="39"/>
  <c r="S94" i="39"/>
  <c r="S83" i="39"/>
  <c r="S95" i="39"/>
  <c r="S84" i="39"/>
  <c r="S78" i="39"/>
  <c r="S99" i="39"/>
  <c r="S144" i="39"/>
  <c r="E64" i="39"/>
  <c r="S157" i="39"/>
  <c r="S170" i="39"/>
  <c r="S146" i="39"/>
  <c r="S185" i="39"/>
  <c r="S198" i="39"/>
  <c r="S166" i="39"/>
  <c r="S178" i="39"/>
  <c r="S192" i="39"/>
  <c r="S103" i="39"/>
  <c r="S106" i="39"/>
  <c r="S162" i="39"/>
  <c r="S158" i="39"/>
  <c r="S116" i="39"/>
  <c r="S114" i="39"/>
  <c r="S188" i="39"/>
  <c r="S131" i="39"/>
  <c r="S138" i="39"/>
  <c r="S167" i="39"/>
  <c r="E91" i="39"/>
  <c r="E70" i="39"/>
  <c r="E150" i="39"/>
  <c r="E201" i="39"/>
  <c r="E168" i="39"/>
  <c r="E144" i="39"/>
  <c r="E203" i="39"/>
  <c r="E99" i="39"/>
  <c r="E98" i="39"/>
  <c r="E199" i="39"/>
  <c r="E173" i="39"/>
  <c r="E146" i="39"/>
  <c r="E164" i="39"/>
  <c r="E111" i="39"/>
  <c r="E86" i="39"/>
  <c r="E81" i="39"/>
  <c r="E169" i="39"/>
  <c r="E200" i="39"/>
  <c r="E106" i="39"/>
  <c r="E141" i="39"/>
  <c r="E82" i="39"/>
  <c r="E117" i="39"/>
  <c r="E130" i="39"/>
  <c r="E88" i="39"/>
  <c r="E167" i="39"/>
  <c r="E133" i="39"/>
  <c r="S98" i="39"/>
  <c r="S70" i="39"/>
  <c r="S89" i="39"/>
  <c r="S72" i="39"/>
  <c r="G62" i="39"/>
  <c r="S76" i="39"/>
  <c r="S75" i="39"/>
  <c r="S69" i="39"/>
  <c r="G137" i="39"/>
  <c r="W175" i="39"/>
  <c r="W194" i="39"/>
  <c r="G187" i="39"/>
  <c r="W144" i="39"/>
  <c r="G143" i="39"/>
  <c r="W138" i="39"/>
  <c r="W78" i="39"/>
  <c r="G207" i="39"/>
  <c r="W134" i="39"/>
  <c r="G166" i="39"/>
  <c r="W155" i="39"/>
  <c r="G78" i="39"/>
  <c r="G93" i="39"/>
  <c r="W67" i="39"/>
  <c r="W81" i="39"/>
  <c r="W62" i="39"/>
  <c r="G89" i="39"/>
  <c r="W137" i="39"/>
  <c r="W94" i="39"/>
  <c r="W92" i="39"/>
  <c r="G132" i="39"/>
  <c r="G189" i="39"/>
  <c r="W85" i="39"/>
  <c r="W90" i="39"/>
  <c r="W76" i="39"/>
  <c r="G98" i="39"/>
  <c r="G80" i="39"/>
  <c r="W129" i="39"/>
  <c r="G198" i="39"/>
  <c r="W196" i="39"/>
  <c r="G77" i="39"/>
  <c r="W71" i="39"/>
  <c r="W99" i="39"/>
  <c r="G72" i="39"/>
  <c r="G136" i="39"/>
  <c r="G123" i="39"/>
  <c r="W164" i="39"/>
  <c r="W131" i="39"/>
  <c r="G70" i="39"/>
  <c r="W115" i="39"/>
  <c r="G191" i="39"/>
  <c r="W160" i="39"/>
  <c r="W159" i="39"/>
  <c r="W124" i="39"/>
  <c r="G138" i="39"/>
  <c r="G147" i="39"/>
  <c r="W202" i="39"/>
  <c r="W123" i="39"/>
  <c r="G157" i="39"/>
  <c r="G161" i="39"/>
  <c r="W157" i="39"/>
  <c r="W171" i="39"/>
  <c r="W204" i="39"/>
  <c r="W120" i="39"/>
  <c r="G153" i="39"/>
  <c r="G179" i="39"/>
  <c r="G171" i="39"/>
  <c r="G146" i="39"/>
  <c r="G178" i="39"/>
  <c r="G194" i="39"/>
  <c r="W169" i="39"/>
  <c r="W174" i="39"/>
  <c r="G124" i="39"/>
  <c r="G154" i="39"/>
  <c r="W140" i="39"/>
  <c r="W185" i="39"/>
  <c r="G204" i="39"/>
  <c r="W104" i="39"/>
  <c r="W186" i="39"/>
  <c r="G169" i="39"/>
  <c r="G182" i="39"/>
  <c r="G202" i="39"/>
  <c r="W103" i="39"/>
  <c r="G102" i="39"/>
  <c r="G152" i="39"/>
  <c r="W100" i="39"/>
  <c r="W161" i="39"/>
  <c r="W105" i="39"/>
  <c r="W165" i="39"/>
  <c r="W190" i="39"/>
  <c r="G135" i="39"/>
  <c r="W183" i="39"/>
  <c r="G122" i="39"/>
  <c r="G110" i="39"/>
  <c r="W141" i="39"/>
  <c r="W179" i="39"/>
  <c r="W142" i="39"/>
  <c r="W106" i="39"/>
  <c r="G206" i="39"/>
  <c r="W178" i="39"/>
  <c r="W130" i="39"/>
  <c r="W170" i="39"/>
  <c r="G117" i="39"/>
  <c r="G88" i="39"/>
  <c r="W84" i="39"/>
  <c r="G81" i="39"/>
  <c r="G87" i="39"/>
  <c r="G71" i="39"/>
  <c r="W182" i="39"/>
  <c r="G63" i="39"/>
  <c r="G91" i="39"/>
  <c r="W111" i="39"/>
  <c r="W80" i="39"/>
  <c r="G203" i="39"/>
  <c r="W95" i="39"/>
  <c r="G75" i="39"/>
  <c r="W82" i="39"/>
  <c r="G65" i="39"/>
  <c r="G111" i="39"/>
  <c r="G188" i="39"/>
  <c r="W147" i="39"/>
  <c r="G67" i="39"/>
  <c r="W77" i="39"/>
  <c r="G90" i="39"/>
  <c r="G96" i="39"/>
  <c r="G97" i="39"/>
  <c r="W79" i="39"/>
  <c r="G168" i="39"/>
  <c r="W117" i="39"/>
  <c r="G205" i="39"/>
  <c r="W109" i="39"/>
  <c r="G79" i="39"/>
  <c r="W166" i="39"/>
  <c r="W128" i="39"/>
  <c r="G114" i="39"/>
  <c r="W173" i="39"/>
  <c r="W152" i="39"/>
  <c r="W180" i="39"/>
  <c r="W176" i="39"/>
  <c r="G173" i="39"/>
  <c r="G107" i="39"/>
  <c r="G190" i="39"/>
  <c r="G201" i="39"/>
  <c r="G103" i="39"/>
  <c r="G196" i="39"/>
  <c r="W150" i="39"/>
  <c r="W158" i="39"/>
  <c r="W197" i="39"/>
  <c r="G160" i="39"/>
  <c r="G142" i="39"/>
  <c r="W199" i="39"/>
  <c r="G155" i="39"/>
  <c r="G175" i="39"/>
  <c r="G100" i="39"/>
  <c r="W108" i="39"/>
  <c r="W188" i="39"/>
  <c r="W145" i="39"/>
  <c r="W181" i="39"/>
  <c r="W149" i="39"/>
  <c r="G184" i="39"/>
  <c r="W121" i="39"/>
  <c r="W110" i="39"/>
  <c r="G140" i="39"/>
  <c r="W198" i="39"/>
  <c r="W189" i="39"/>
  <c r="W163" i="39"/>
  <c r="W168" i="39"/>
  <c r="G141" i="39"/>
  <c r="G105" i="39"/>
  <c r="G151" i="39"/>
  <c r="G119" i="39"/>
  <c r="G127" i="39"/>
  <c r="G158" i="39"/>
  <c r="W201" i="39"/>
  <c r="G199" i="39"/>
  <c r="G180" i="39"/>
  <c r="G121" i="39"/>
  <c r="W205" i="39"/>
  <c r="G139" i="39"/>
  <c r="G129" i="39"/>
  <c r="G108" i="39"/>
  <c r="W162" i="39"/>
  <c r="W125" i="39"/>
  <c r="G150" i="39"/>
  <c r="W146" i="39"/>
  <c r="W184" i="39"/>
  <c r="W132" i="39"/>
  <c r="W177" i="39"/>
  <c r="G183" i="39"/>
  <c r="W88" i="39"/>
  <c r="W68" i="39"/>
  <c r="G92" i="39"/>
  <c r="W93" i="39"/>
  <c r="W65" i="39"/>
  <c r="W63" i="39"/>
  <c r="W87" i="39"/>
  <c r="W98" i="39"/>
  <c r="W102" i="39"/>
  <c r="W66" i="39"/>
  <c r="G83" i="39"/>
  <c r="W151" i="39"/>
  <c r="G104" i="39"/>
  <c r="G68" i="39"/>
  <c r="G94" i="39"/>
  <c r="W96" i="39"/>
  <c r="W75" i="39"/>
  <c r="W72" i="39"/>
  <c r="W70" i="39"/>
  <c r="W107" i="39"/>
  <c r="G148" i="39"/>
  <c r="G164" i="39"/>
  <c r="G95" i="39"/>
  <c r="G86" i="39"/>
  <c r="G66" i="39"/>
  <c r="W74" i="39"/>
  <c r="G73" i="39"/>
  <c r="W97" i="39"/>
  <c r="G177" i="39"/>
  <c r="G174" i="39"/>
  <c r="W136" i="39"/>
  <c r="W126" i="39"/>
  <c r="W133" i="39"/>
  <c r="W156" i="39"/>
  <c r="W206" i="39"/>
  <c r="W122" i="39"/>
  <c r="G159" i="39"/>
  <c r="G200" i="39"/>
  <c r="W135" i="39"/>
  <c r="G112" i="39"/>
  <c r="W200" i="39"/>
  <c r="G101" i="39"/>
  <c r="W172" i="39"/>
  <c r="G106" i="39"/>
  <c r="G195" i="39"/>
  <c r="G193" i="39"/>
  <c r="G113" i="39"/>
  <c r="G197" i="39"/>
  <c r="G165" i="39"/>
  <c r="W101" i="39"/>
  <c r="G172" i="39"/>
  <c r="W139" i="39"/>
  <c r="W203" i="39"/>
  <c r="G156" i="39"/>
  <c r="G126" i="39"/>
  <c r="G128" i="39"/>
  <c r="W73" i="39"/>
  <c r="G85" i="39"/>
  <c r="W192" i="39"/>
  <c r="G64" i="39"/>
  <c r="G74" i="39"/>
  <c r="W187" i="39"/>
  <c r="W193" i="39"/>
  <c r="G192" i="39"/>
  <c r="G163" i="39"/>
  <c r="G130" i="39"/>
  <c r="G181" i="39"/>
  <c r="W119" i="39"/>
  <c r="G109" i="39"/>
  <c r="G118" i="39"/>
  <c r="W154" i="39"/>
  <c r="W143" i="39"/>
  <c r="G185" i="39"/>
  <c r="W191" i="39"/>
  <c r="G176" i="39"/>
  <c r="W167" i="39"/>
  <c r="G125" i="39"/>
  <c r="G145" i="39"/>
  <c r="G167" i="39"/>
  <c r="W153" i="39"/>
  <c r="W207" i="39"/>
  <c r="G82" i="39"/>
  <c r="G99" i="39"/>
  <c r="W64" i="39"/>
  <c r="G120" i="39"/>
  <c r="G116" i="39"/>
  <c r="G186" i="39"/>
  <c r="W91" i="39"/>
  <c r="W89" i="39"/>
  <c r="G170" i="39"/>
  <c r="W114" i="39"/>
  <c r="G134" i="39"/>
  <c r="G149" i="39"/>
  <c r="G162" i="39"/>
  <c r="G133" i="39"/>
  <c r="G115" i="39"/>
  <c r="G144" i="39"/>
  <c r="G76" i="39"/>
  <c r="W113" i="39"/>
  <c r="G84" i="39"/>
  <c r="W69" i="39"/>
  <c r="W86" i="39"/>
  <c r="W83" i="39"/>
  <c r="G69" i="39"/>
  <c r="S129" i="39"/>
  <c r="S68" i="39"/>
  <c r="C35" i="44"/>
  <c r="C36" i="44" l="1"/>
  <c r="C48" i="44"/>
  <c r="C39" i="44" l="1"/>
  <c r="C40" i="44" s="1"/>
  <c r="C41" i="44" s="1"/>
  <c r="C53" i="44"/>
  <c r="C60" i="44"/>
  <c r="F10" i="42" s="1"/>
  <c r="C42" i="44" l="1"/>
  <c r="C43" i="44" s="1"/>
  <c r="A3" i="39"/>
  <c r="F24" i="42"/>
  <c r="E3" i="39" l="1"/>
  <c r="B274" i="39" l="1"/>
  <c r="B263" i="39"/>
  <c r="B243" i="39"/>
  <c r="B246" i="39"/>
  <c r="B285" i="39"/>
  <c r="B349" i="39"/>
  <c r="B335" i="39"/>
  <c r="B297" i="39"/>
  <c r="B257" i="39"/>
  <c r="B241" i="39"/>
  <c r="B346" i="39"/>
  <c r="B218" i="39"/>
  <c r="B276" i="39"/>
  <c r="B258" i="39"/>
  <c r="B260" i="39"/>
  <c r="B302" i="39"/>
  <c r="B359" i="39"/>
  <c r="B350" i="39"/>
  <c r="B309" i="39"/>
  <c r="B332" i="39"/>
  <c r="B331" i="39"/>
  <c r="B348" i="39"/>
  <c r="B236" i="39"/>
  <c r="B228" i="39"/>
  <c r="B224" i="39"/>
  <c r="B222" i="39"/>
  <c r="B268" i="39"/>
  <c r="B321" i="39"/>
  <c r="B314" i="39"/>
  <c r="B295" i="39"/>
  <c r="B330" i="39"/>
  <c r="B242" i="39"/>
  <c r="B226" i="39"/>
  <c r="B270" i="39"/>
  <c r="B296" i="39"/>
  <c r="B217" i="39"/>
  <c r="B272" i="39"/>
  <c r="B256" i="39"/>
  <c r="B259" i="39"/>
  <c r="B301" i="39"/>
  <c r="B357" i="39"/>
  <c r="B347" i="39"/>
  <c r="B307" i="39"/>
  <c r="B325" i="39"/>
  <c r="B324" i="39"/>
  <c r="B281" i="39"/>
  <c r="B278" i="39"/>
  <c r="B304" i="39"/>
  <c r="B229" i="39"/>
  <c r="B225" i="39"/>
  <c r="B288" i="39"/>
  <c r="B219" i="39"/>
  <c r="B266" i="39"/>
  <c r="B319" i="39"/>
  <c r="B308" i="39"/>
  <c r="B290" i="39"/>
  <c r="B322" i="39"/>
  <c r="B253" i="39"/>
  <c r="B323" i="39"/>
  <c r="B248" i="39"/>
  <c r="B252" i="39"/>
  <c r="B232" i="39"/>
  <c r="B239" i="39"/>
  <c r="B275" i="39"/>
  <c r="B342" i="39"/>
  <c r="B329" i="39"/>
  <c r="B294" i="39"/>
  <c r="B356" i="39"/>
  <c r="B320" i="39"/>
  <c r="B221" i="39"/>
  <c r="B251" i="39"/>
  <c r="B326" i="39"/>
  <c r="B338" i="39"/>
  <c r="B345" i="39"/>
  <c r="B216" i="39"/>
  <c r="B223" i="39"/>
  <c r="B287" i="39"/>
  <c r="B283" i="39"/>
  <c r="B264" i="39"/>
  <c r="B316" i="39"/>
  <c r="B305" i="39"/>
  <c r="B317" i="39"/>
  <c r="B240" i="39"/>
  <c r="B315" i="39"/>
  <c r="B311" i="39"/>
  <c r="B245" i="39"/>
  <c r="B238" i="39"/>
  <c r="B230" i="39"/>
  <c r="B237" i="39"/>
  <c r="B273" i="39"/>
  <c r="B340" i="39"/>
  <c r="B328" i="39"/>
  <c r="B293" i="39"/>
  <c r="B353" i="39"/>
  <c r="B214" i="39"/>
  <c r="B262" i="39"/>
  <c r="B358" i="39"/>
  <c r="B284" i="39"/>
  <c r="B267" i="39"/>
  <c r="B250" i="39"/>
  <c r="B254" i="39"/>
  <c r="B299" i="39"/>
  <c r="B354" i="39"/>
  <c r="B341" i="39"/>
  <c r="B303" i="39"/>
  <c r="B344" i="39"/>
  <c r="B231" i="39"/>
  <c r="B233" i="39"/>
  <c r="B291" i="39"/>
  <c r="B313" i="39"/>
  <c r="B244" i="39"/>
  <c r="B235" i="39"/>
  <c r="B227" i="39"/>
  <c r="B234" i="39"/>
  <c r="B271" i="39"/>
  <c r="B336" i="39"/>
  <c r="B327" i="39"/>
  <c r="B292" i="39"/>
  <c r="B343" i="39"/>
  <c r="B289" i="39"/>
  <c r="B280" i="39"/>
  <c r="B355" i="39"/>
  <c r="B334" i="39"/>
  <c r="B282" i="39"/>
  <c r="B265" i="39"/>
  <c r="B247" i="39"/>
  <c r="B249" i="39"/>
  <c r="B286" i="39"/>
  <c r="B352" i="39"/>
  <c r="B339" i="39"/>
  <c r="B298" i="39"/>
  <c r="B318" i="39"/>
  <c r="B300" i="39"/>
  <c r="B306" i="39"/>
  <c r="B220" i="39"/>
  <c r="B277" i="39"/>
  <c r="B279" i="39"/>
  <c r="B261" i="39"/>
  <c r="B312" i="39"/>
  <c r="B351" i="39"/>
  <c r="B310" i="39"/>
  <c r="B337" i="39"/>
  <c r="B269" i="39"/>
  <c r="B255" i="39"/>
  <c r="B333" i="39"/>
  <c r="B128" i="39"/>
  <c r="B192" i="39"/>
  <c r="B129" i="39"/>
  <c r="B193" i="39"/>
  <c r="B91" i="39"/>
  <c r="B75" i="39"/>
  <c r="B204" i="39"/>
  <c r="B191" i="39"/>
  <c r="B178" i="39"/>
  <c r="B116" i="39"/>
  <c r="B180" i="39"/>
  <c r="B117" i="39"/>
  <c r="B181" i="39"/>
  <c r="B98" i="39"/>
  <c r="B203" i="39"/>
  <c r="B182" i="39"/>
  <c r="B167" i="39"/>
  <c r="B154" i="39"/>
  <c r="B104" i="39"/>
  <c r="B168" i="39"/>
  <c r="H168" i="39" s="1"/>
  <c r="I168" i="39" s="1"/>
  <c r="J168" i="39" s="1"/>
  <c r="B105" i="39"/>
  <c r="B169" i="39"/>
  <c r="B86" i="39"/>
  <c r="B179" i="39"/>
  <c r="B158" i="39"/>
  <c r="B143" i="39"/>
  <c r="B130" i="39"/>
  <c r="B92" i="39"/>
  <c r="B156" i="39"/>
  <c r="B93" i="39"/>
  <c r="B157" i="39"/>
  <c r="B77" i="39"/>
  <c r="B155" i="39"/>
  <c r="B134" i="39"/>
  <c r="B119" i="39"/>
  <c r="B103" i="39"/>
  <c r="B63" i="39"/>
  <c r="B80" i="39"/>
  <c r="B144" i="39"/>
  <c r="B81" i="39"/>
  <c r="B145" i="39"/>
  <c r="B65" i="39"/>
  <c r="B131" i="39"/>
  <c r="B110" i="39"/>
  <c r="B83" i="39"/>
  <c r="B72" i="39"/>
  <c r="B207" i="39"/>
  <c r="B132" i="39"/>
  <c r="H132" i="39" s="1"/>
  <c r="I132" i="39" s="1"/>
  <c r="J132" i="39" s="1"/>
  <c r="B196" i="39"/>
  <c r="B133" i="39"/>
  <c r="B197" i="39"/>
  <c r="B107" i="39"/>
  <c r="B62" i="39"/>
  <c r="B66" i="39"/>
  <c r="B199" i="39"/>
  <c r="B186" i="39"/>
  <c r="B120" i="39"/>
  <c r="B184" i="39"/>
  <c r="B121" i="39"/>
  <c r="B185" i="39"/>
  <c r="B102" i="39"/>
  <c r="B64" i="39"/>
  <c r="B190" i="39"/>
  <c r="B175" i="39"/>
  <c r="H175" i="39" s="1"/>
  <c r="I175" i="39" s="1"/>
  <c r="J175" i="39" s="1"/>
  <c r="B162" i="39"/>
  <c r="B108" i="39"/>
  <c r="B172" i="39"/>
  <c r="B109" i="39"/>
  <c r="B173" i="39"/>
  <c r="B90" i="39"/>
  <c r="B187" i="39"/>
  <c r="B166" i="39"/>
  <c r="B151" i="39"/>
  <c r="B138" i="39"/>
  <c r="B96" i="39"/>
  <c r="B160" i="39"/>
  <c r="B97" i="39"/>
  <c r="B161" i="39"/>
  <c r="H161" i="39" s="1"/>
  <c r="I161" i="39" s="1"/>
  <c r="J161" i="39" s="1"/>
  <c r="B163" i="39"/>
  <c r="B142" i="39"/>
  <c r="B127" i="39"/>
  <c r="B114" i="39"/>
  <c r="B84" i="39"/>
  <c r="B148" i="39"/>
  <c r="B85" i="39"/>
  <c r="B149" i="39"/>
  <c r="B69" i="39"/>
  <c r="B139" i="39"/>
  <c r="H139" i="39" s="1"/>
  <c r="I139" i="39" s="1"/>
  <c r="J139" i="39" s="1"/>
  <c r="B118" i="39"/>
  <c r="B99" i="39"/>
  <c r="B78" i="39"/>
  <c r="B68" i="39"/>
  <c r="B136" i="39"/>
  <c r="B200" i="39"/>
  <c r="B137" i="39"/>
  <c r="B201" i="39"/>
  <c r="B115" i="39"/>
  <c r="B79" i="39"/>
  <c r="B71" i="39"/>
  <c r="B206" i="39"/>
  <c r="B194" i="39"/>
  <c r="B124" i="39"/>
  <c r="B188" i="39"/>
  <c r="B125" i="39"/>
  <c r="B189" i="39"/>
  <c r="B106" i="39"/>
  <c r="B70" i="39"/>
  <c r="B198" i="39"/>
  <c r="B183" i="39"/>
  <c r="B170" i="39"/>
  <c r="B112" i="39"/>
  <c r="B176" i="39"/>
  <c r="B113" i="39"/>
  <c r="B177" i="39"/>
  <c r="B94" i="39"/>
  <c r="B195" i="39"/>
  <c r="B174" i="39"/>
  <c r="B159" i="39"/>
  <c r="B146" i="39"/>
  <c r="B100" i="39"/>
  <c r="B164" i="39"/>
  <c r="B101" i="39"/>
  <c r="B165" i="39"/>
  <c r="B82" i="39"/>
  <c r="B171" i="39"/>
  <c r="B150" i="39"/>
  <c r="B135" i="39"/>
  <c r="B122" i="39"/>
  <c r="H122" i="39" s="1"/>
  <c r="I122" i="39" s="1"/>
  <c r="J122" i="39" s="1"/>
  <c r="B88" i="39"/>
  <c r="B152" i="39"/>
  <c r="B89" i="39"/>
  <c r="B153" i="39"/>
  <c r="B73" i="39"/>
  <c r="B147" i="39"/>
  <c r="B126" i="39"/>
  <c r="B111" i="39"/>
  <c r="B87" i="39"/>
  <c r="B74" i="39"/>
  <c r="B140" i="39"/>
  <c r="B215" i="39"/>
  <c r="B141" i="39"/>
  <c r="B205" i="39"/>
  <c r="B123" i="39"/>
  <c r="B95" i="39"/>
  <c r="B76" i="39"/>
  <c r="B67" i="39"/>
  <c r="B202" i="39"/>
  <c r="K3" i="39"/>
  <c r="M3" i="39" s="1"/>
  <c r="H102" i="39"/>
  <c r="I102" i="39" s="1"/>
  <c r="J102" i="39" s="1"/>
  <c r="H154" i="39"/>
  <c r="I154" i="39" s="1"/>
  <c r="J154" i="39" s="1"/>
  <c r="F126" i="39" l="1"/>
  <c r="T126" i="39"/>
  <c r="X126" i="39"/>
  <c r="P126" i="39"/>
  <c r="Q126" i="39" s="1"/>
  <c r="R126" i="39" s="1"/>
  <c r="L126" i="39"/>
  <c r="F165" i="39"/>
  <c r="X165" i="39"/>
  <c r="L165" i="39"/>
  <c r="M165" i="39" s="1"/>
  <c r="N165" i="39" s="1"/>
  <c r="T165" i="39"/>
  <c r="P165" i="39"/>
  <c r="F112" i="39"/>
  <c r="T112" i="39"/>
  <c r="U112" i="39" s="1"/>
  <c r="V112" i="39" s="1"/>
  <c r="X112" i="39"/>
  <c r="P112" i="39"/>
  <c r="L112" i="39"/>
  <c r="F78" i="39"/>
  <c r="T78" i="39"/>
  <c r="X78" i="39"/>
  <c r="P78" i="39"/>
  <c r="L78" i="39"/>
  <c r="M78" i="39" s="1"/>
  <c r="N78" i="39" s="1"/>
  <c r="F163" i="39"/>
  <c r="T163" i="39"/>
  <c r="X163" i="39"/>
  <c r="L163" i="39"/>
  <c r="M163" i="39" s="1"/>
  <c r="N163" i="39" s="1"/>
  <c r="P163" i="39"/>
  <c r="F172" i="39"/>
  <c r="T172" i="39"/>
  <c r="X172" i="39"/>
  <c r="Y172" i="39" s="1"/>
  <c r="Z172" i="39" s="1"/>
  <c r="L172" i="39"/>
  <c r="P172" i="39"/>
  <c r="F207" i="39"/>
  <c r="X207" i="39"/>
  <c r="Y207" i="39" s="1"/>
  <c r="Z207" i="39" s="1"/>
  <c r="T207" i="39"/>
  <c r="P207" i="39"/>
  <c r="L207" i="39"/>
  <c r="F119" i="39"/>
  <c r="X119" i="39"/>
  <c r="T119" i="39"/>
  <c r="L119" i="39"/>
  <c r="P119" i="39"/>
  <c r="Q119" i="39" s="1"/>
  <c r="R119" i="39" s="1"/>
  <c r="F203" i="39"/>
  <c r="T203" i="39"/>
  <c r="X203" i="39"/>
  <c r="P203" i="39"/>
  <c r="Q203" i="39" s="1"/>
  <c r="R203" i="39" s="1"/>
  <c r="L203" i="39"/>
  <c r="F129" i="39"/>
  <c r="X129" i="39"/>
  <c r="T129" i="39"/>
  <c r="U129" i="39" s="1"/>
  <c r="V129" i="39" s="1"/>
  <c r="L129" i="39"/>
  <c r="P129" i="39"/>
  <c r="F152" i="39"/>
  <c r="X152" i="39"/>
  <c r="Y152" i="39" s="1"/>
  <c r="Z152" i="39" s="1"/>
  <c r="L152" i="39"/>
  <c r="T152" i="39"/>
  <c r="P152" i="39"/>
  <c r="F159" i="39"/>
  <c r="T159" i="39"/>
  <c r="X159" i="39"/>
  <c r="P159" i="39"/>
  <c r="L159" i="39"/>
  <c r="M159" i="39" s="1"/>
  <c r="N159" i="39" s="1"/>
  <c r="F106" i="39"/>
  <c r="T106" i="39"/>
  <c r="X106" i="39"/>
  <c r="P106" i="39"/>
  <c r="Q106" i="39" s="1"/>
  <c r="R106" i="39" s="1"/>
  <c r="L106" i="39"/>
  <c r="F79" i="39"/>
  <c r="P79" i="39"/>
  <c r="L79" i="39"/>
  <c r="M79" i="39" s="1"/>
  <c r="N79" i="39" s="1"/>
  <c r="T79" i="39"/>
  <c r="X79" i="39"/>
  <c r="F200" i="39"/>
  <c r="X200" i="39"/>
  <c r="Y200" i="39" s="1"/>
  <c r="Z200" i="39" s="1"/>
  <c r="P200" i="39"/>
  <c r="L200" i="39"/>
  <c r="T200" i="39"/>
  <c r="F99" i="39"/>
  <c r="P99" i="39"/>
  <c r="X99" i="39"/>
  <c r="T99" i="39"/>
  <c r="L99" i="39"/>
  <c r="M99" i="39" s="1"/>
  <c r="N99" i="39" s="1"/>
  <c r="F149" i="39"/>
  <c r="T149" i="39"/>
  <c r="U149" i="39" s="1"/>
  <c r="V149" i="39" s="1"/>
  <c r="X149" i="39"/>
  <c r="L149" i="39"/>
  <c r="M149" i="39" s="1"/>
  <c r="N149" i="39" s="1"/>
  <c r="P149" i="39"/>
  <c r="F114" i="39"/>
  <c r="X114" i="39"/>
  <c r="T114" i="39"/>
  <c r="U114" i="39" s="1"/>
  <c r="V114" i="39" s="1"/>
  <c r="P114" i="39"/>
  <c r="L114" i="39"/>
  <c r="F161" i="39"/>
  <c r="T161" i="39"/>
  <c r="U161" i="39" s="1"/>
  <c r="V161" i="39" s="1"/>
  <c r="X161" i="39"/>
  <c r="P161" i="39"/>
  <c r="L161" i="39"/>
  <c r="F138" i="39"/>
  <c r="X138" i="39"/>
  <c r="T138" i="39"/>
  <c r="P138" i="39"/>
  <c r="Q138" i="39" s="1"/>
  <c r="R138" i="39" s="1"/>
  <c r="L138" i="39"/>
  <c r="M138" i="39" s="1"/>
  <c r="N138" i="39" s="1"/>
  <c r="F90" i="39"/>
  <c r="X90" i="39"/>
  <c r="T90" i="39"/>
  <c r="P90" i="39"/>
  <c r="Q90" i="39" s="1"/>
  <c r="R90" i="39" s="1"/>
  <c r="L90" i="39"/>
  <c r="F108" i="39"/>
  <c r="T108" i="39"/>
  <c r="P108" i="39"/>
  <c r="Q108" i="39" s="1"/>
  <c r="R108" i="39" s="1"/>
  <c r="L108" i="39"/>
  <c r="X108" i="39"/>
  <c r="Y108" i="39" s="1"/>
  <c r="Z108" i="39" s="1"/>
  <c r="F64" i="39"/>
  <c r="X64" i="39"/>
  <c r="Y64" i="39" s="1"/>
  <c r="Z64" i="39" s="1"/>
  <c r="T64" i="39"/>
  <c r="L64" i="39"/>
  <c r="P64" i="39"/>
  <c r="F184" i="39"/>
  <c r="X184" i="39"/>
  <c r="L184" i="39"/>
  <c r="T184" i="39"/>
  <c r="U184" i="39" s="1"/>
  <c r="V184" i="39" s="1"/>
  <c r="P184" i="39"/>
  <c r="Q184" i="39" s="1"/>
  <c r="R184" i="39" s="1"/>
  <c r="F66" i="39"/>
  <c r="X66" i="39"/>
  <c r="T66" i="39"/>
  <c r="P66" i="39"/>
  <c r="Q66" i="39" s="1"/>
  <c r="R66" i="39" s="1"/>
  <c r="L66" i="39"/>
  <c r="M66" i="39" s="1"/>
  <c r="N66" i="39" s="1"/>
  <c r="F133" i="39"/>
  <c r="T133" i="39"/>
  <c r="X133" i="39"/>
  <c r="Y133" i="39" s="1"/>
  <c r="Z133" i="39" s="1"/>
  <c r="P133" i="39"/>
  <c r="Q133" i="39" s="1"/>
  <c r="R133" i="39" s="1"/>
  <c r="L133" i="39"/>
  <c r="F72" i="39"/>
  <c r="P72" i="39"/>
  <c r="Q72" i="39" s="1"/>
  <c r="R72" i="39" s="1"/>
  <c r="X72" i="39"/>
  <c r="L72" i="39"/>
  <c r="T72" i="39"/>
  <c r="F65" i="39"/>
  <c r="X65" i="39"/>
  <c r="T65" i="39"/>
  <c r="L65" i="39"/>
  <c r="P65" i="39"/>
  <c r="Q65" i="39" s="1"/>
  <c r="R65" i="39" s="1"/>
  <c r="F80" i="39"/>
  <c r="X80" i="39"/>
  <c r="T80" i="39"/>
  <c r="L80" i="39"/>
  <c r="M80" i="39" s="1"/>
  <c r="N80" i="39" s="1"/>
  <c r="P80" i="39"/>
  <c r="F134" i="39"/>
  <c r="P134" i="39"/>
  <c r="X134" i="39"/>
  <c r="Y134" i="39" s="1"/>
  <c r="Z134" i="39" s="1"/>
  <c r="L134" i="39"/>
  <c r="T134" i="39"/>
  <c r="F93" i="39"/>
  <c r="X93" i="39"/>
  <c r="Y93" i="39" s="1"/>
  <c r="Z93" i="39" s="1"/>
  <c r="T93" i="39"/>
  <c r="P93" i="39"/>
  <c r="L93" i="39"/>
  <c r="F143" i="39"/>
  <c r="X143" i="39"/>
  <c r="T143" i="39"/>
  <c r="P143" i="39"/>
  <c r="L143" i="39"/>
  <c r="M143" i="39" s="1"/>
  <c r="N143" i="39" s="1"/>
  <c r="F169" i="39"/>
  <c r="T169" i="39"/>
  <c r="P169" i="39"/>
  <c r="L169" i="39"/>
  <c r="M169" i="39" s="1"/>
  <c r="N169" i="39" s="1"/>
  <c r="X169" i="39"/>
  <c r="F154" i="39"/>
  <c r="T154" i="39"/>
  <c r="X154" i="39"/>
  <c r="Y154" i="39" s="1"/>
  <c r="Z154" i="39" s="1"/>
  <c r="P154" i="39"/>
  <c r="L154" i="39"/>
  <c r="F98" i="39"/>
  <c r="X98" i="39"/>
  <c r="Y98" i="39" s="1"/>
  <c r="Z98" i="39" s="1"/>
  <c r="T98" i="39"/>
  <c r="L98" i="39"/>
  <c r="P98" i="39"/>
  <c r="Q98" i="39" s="1"/>
  <c r="R98" i="39" s="1"/>
  <c r="F116" i="39"/>
  <c r="X116" i="39"/>
  <c r="T116" i="39"/>
  <c r="P116" i="39"/>
  <c r="L116" i="39"/>
  <c r="M116" i="39" s="1"/>
  <c r="N116" i="39" s="1"/>
  <c r="F75" i="39"/>
  <c r="T75" i="39"/>
  <c r="X75" i="39"/>
  <c r="L75" i="39"/>
  <c r="M75" i="39" s="1"/>
  <c r="N75" i="39" s="1"/>
  <c r="P75" i="39"/>
  <c r="F192" i="39"/>
  <c r="T192" i="39"/>
  <c r="X192" i="39"/>
  <c r="Y192" i="39" s="1"/>
  <c r="Z192" i="39" s="1"/>
  <c r="P192" i="39"/>
  <c r="L192" i="39"/>
  <c r="F123" i="39"/>
  <c r="X123" i="39"/>
  <c r="Y123" i="39" s="1"/>
  <c r="Z123" i="39" s="1"/>
  <c r="T123" i="39"/>
  <c r="P123" i="39"/>
  <c r="L123" i="39"/>
  <c r="F89" i="39"/>
  <c r="T89" i="39"/>
  <c r="P89" i="39"/>
  <c r="X89" i="39"/>
  <c r="L89" i="39"/>
  <c r="M89" i="39" s="1"/>
  <c r="N89" i="39" s="1"/>
  <c r="F146" i="39"/>
  <c r="P146" i="39"/>
  <c r="X146" i="39"/>
  <c r="T146" i="39"/>
  <c r="U146" i="39" s="1"/>
  <c r="V146" i="39" s="1"/>
  <c r="L146" i="39"/>
  <c r="F188" i="39"/>
  <c r="T188" i="39"/>
  <c r="X188" i="39"/>
  <c r="Y188" i="39" s="1"/>
  <c r="Z188" i="39" s="1"/>
  <c r="L188" i="39"/>
  <c r="P188" i="39"/>
  <c r="F137" i="39"/>
  <c r="T137" i="39"/>
  <c r="U137" i="39" s="1"/>
  <c r="V137" i="39" s="1"/>
  <c r="X137" i="39"/>
  <c r="P137" i="39"/>
  <c r="L137" i="39"/>
  <c r="F69" i="39"/>
  <c r="T69" i="39"/>
  <c r="X69" i="39"/>
  <c r="P69" i="39"/>
  <c r="L69" i="39"/>
  <c r="M69" i="39" s="1"/>
  <c r="N69" i="39" s="1"/>
  <c r="F96" i="39"/>
  <c r="T96" i="39"/>
  <c r="X96" i="39"/>
  <c r="P96" i="39"/>
  <c r="Q96" i="39" s="1"/>
  <c r="R96" i="39" s="1"/>
  <c r="L96" i="39"/>
  <c r="F190" i="39"/>
  <c r="L190" i="39"/>
  <c r="T190" i="39"/>
  <c r="U190" i="39" s="1"/>
  <c r="V190" i="39" s="1"/>
  <c r="P190" i="39"/>
  <c r="X190" i="39"/>
  <c r="F199" i="39"/>
  <c r="X199" i="39"/>
  <c r="Y199" i="39" s="1"/>
  <c r="Z199" i="39" s="1"/>
  <c r="T199" i="39"/>
  <c r="P199" i="39"/>
  <c r="L199" i="39"/>
  <c r="F131" i="39"/>
  <c r="X131" i="39"/>
  <c r="T131" i="39"/>
  <c r="P131" i="39"/>
  <c r="L131" i="39"/>
  <c r="M131" i="39" s="1"/>
  <c r="N131" i="39" s="1"/>
  <c r="F157" i="39"/>
  <c r="X157" i="39"/>
  <c r="T157" i="39"/>
  <c r="L157" i="39"/>
  <c r="M157" i="39" s="1"/>
  <c r="N157" i="39" s="1"/>
  <c r="P157" i="39"/>
  <c r="F86" i="39"/>
  <c r="P86" i="39"/>
  <c r="X86" i="39"/>
  <c r="Y86" i="39" s="1"/>
  <c r="Z86" i="39" s="1"/>
  <c r="T86" i="39"/>
  <c r="L86" i="39"/>
  <c r="F204" i="39"/>
  <c r="T204" i="39"/>
  <c r="U204" i="39" s="1"/>
  <c r="V204" i="39" s="1"/>
  <c r="X204" i="39"/>
  <c r="P204" i="39"/>
  <c r="L204" i="39"/>
  <c r="F67" i="39"/>
  <c r="X67" i="39"/>
  <c r="T67" i="39"/>
  <c r="L67" i="39"/>
  <c r="P67" i="39"/>
  <c r="Q67" i="39" s="1"/>
  <c r="R67" i="39" s="1"/>
  <c r="F74" i="39"/>
  <c r="P74" i="39"/>
  <c r="T74" i="39"/>
  <c r="L74" i="39"/>
  <c r="M74" i="39" s="1"/>
  <c r="N74" i="39" s="1"/>
  <c r="X74" i="39"/>
  <c r="F150" i="39"/>
  <c r="X150" i="39"/>
  <c r="P150" i="39"/>
  <c r="Q150" i="39" s="1"/>
  <c r="R150" i="39" s="1"/>
  <c r="T150" i="39"/>
  <c r="L150" i="39"/>
  <c r="F177" i="39"/>
  <c r="X177" i="39"/>
  <c r="Y177" i="39" s="1"/>
  <c r="Z177" i="39" s="1"/>
  <c r="T177" i="39"/>
  <c r="L177" i="39"/>
  <c r="P177" i="39"/>
  <c r="F124" i="39"/>
  <c r="T124" i="39"/>
  <c r="X124" i="39"/>
  <c r="L124" i="39"/>
  <c r="P124" i="39"/>
  <c r="Q124" i="39" s="1"/>
  <c r="R124" i="39" s="1"/>
  <c r="F76" i="39"/>
  <c r="T76" i="39"/>
  <c r="X76" i="39"/>
  <c r="P76" i="39"/>
  <c r="Q76" i="39" s="1"/>
  <c r="R76" i="39" s="1"/>
  <c r="L76" i="39"/>
  <c r="F141" i="39"/>
  <c r="X141" i="39"/>
  <c r="Y141" i="39" s="1"/>
  <c r="Z141" i="39" s="1"/>
  <c r="T141" i="39"/>
  <c r="U141" i="39" s="1"/>
  <c r="V141" i="39" s="1"/>
  <c r="L141" i="39"/>
  <c r="P141" i="39"/>
  <c r="F87" i="39"/>
  <c r="X87" i="39"/>
  <c r="Y87" i="39" s="1"/>
  <c r="Z87" i="39" s="1"/>
  <c r="T87" i="39"/>
  <c r="L87" i="39"/>
  <c r="P87" i="39"/>
  <c r="F73" i="39"/>
  <c r="T73" i="39"/>
  <c r="P73" i="39"/>
  <c r="X73" i="39"/>
  <c r="L73" i="39"/>
  <c r="M73" i="39" s="1"/>
  <c r="N73" i="39" s="1"/>
  <c r="F88" i="39"/>
  <c r="X88" i="39"/>
  <c r="P88" i="39"/>
  <c r="L88" i="39"/>
  <c r="M88" i="39" s="1"/>
  <c r="N88" i="39" s="1"/>
  <c r="T88" i="39"/>
  <c r="F171" i="39"/>
  <c r="X171" i="39"/>
  <c r="T171" i="39"/>
  <c r="U171" i="39" s="1"/>
  <c r="V171" i="39" s="1"/>
  <c r="P171" i="39"/>
  <c r="L171" i="39"/>
  <c r="F164" i="39"/>
  <c r="T164" i="39"/>
  <c r="U164" i="39" s="1"/>
  <c r="V164" i="39" s="1"/>
  <c r="X164" i="39"/>
  <c r="P164" i="39"/>
  <c r="L164" i="39"/>
  <c r="F174" i="39"/>
  <c r="X174" i="39"/>
  <c r="T174" i="39"/>
  <c r="L174" i="39"/>
  <c r="P174" i="39"/>
  <c r="Q174" i="39" s="1"/>
  <c r="R174" i="39" s="1"/>
  <c r="F113" i="39"/>
  <c r="X113" i="39"/>
  <c r="L113" i="39"/>
  <c r="T113" i="39"/>
  <c r="U113" i="39" s="1"/>
  <c r="V113" i="39" s="1"/>
  <c r="P113" i="39"/>
  <c r="F183" i="39"/>
  <c r="X183" i="39"/>
  <c r="T183" i="39"/>
  <c r="U183" i="39" s="1"/>
  <c r="V183" i="39" s="1"/>
  <c r="L183" i="39"/>
  <c r="P183" i="39"/>
  <c r="F189" i="39"/>
  <c r="X189" i="39"/>
  <c r="Y189" i="39" s="1"/>
  <c r="Z189" i="39" s="1"/>
  <c r="T189" i="39"/>
  <c r="P189" i="39"/>
  <c r="L189" i="39"/>
  <c r="F194" i="39"/>
  <c r="P194" i="39"/>
  <c r="X194" i="39"/>
  <c r="T194" i="39"/>
  <c r="L194" i="39"/>
  <c r="M194" i="39" s="1"/>
  <c r="N194" i="39" s="1"/>
  <c r="F115" i="39"/>
  <c r="P115" i="39"/>
  <c r="X115" i="39"/>
  <c r="T115" i="39"/>
  <c r="U115" i="39" s="1"/>
  <c r="V115" i="39" s="1"/>
  <c r="L115" i="39"/>
  <c r="F136" i="39"/>
  <c r="X136" i="39"/>
  <c r="P136" i="39"/>
  <c r="Q136" i="39" s="1"/>
  <c r="R136" i="39" s="1"/>
  <c r="L136" i="39"/>
  <c r="T136" i="39"/>
  <c r="F118" i="39"/>
  <c r="T118" i="39"/>
  <c r="U118" i="39" s="1"/>
  <c r="V118" i="39" s="1"/>
  <c r="P118" i="39"/>
  <c r="L118" i="39"/>
  <c r="X118" i="39"/>
  <c r="F85" i="39"/>
  <c r="T85" i="39"/>
  <c r="X85" i="39"/>
  <c r="P85" i="39"/>
  <c r="L85" i="39"/>
  <c r="M85" i="39" s="1"/>
  <c r="N85" i="39" s="1"/>
  <c r="F127" i="39"/>
  <c r="T127" i="39"/>
  <c r="X127" i="39"/>
  <c r="P127" i="39"/>
  <c r="Q127" i="39" s="1"/>
  <c r="R127" i="39" s="1"/>
  <c r="L127" i="39"/>
  <c r="F97" i="39"/>
  <c r="T97" i="39"/>
  <c r="X97" i="39"/>
  <c r="Y97" i="39" s="1"/>
  <c r="Z97" i="39" s="1"/>
  <c r="L97" i="39"/>
  <c r="P97" i="39"/>
  <c r="F151" i="39"/>
  <c r="X151" i="39"/>
  <c r="Y151" i="39" s="1"/>
  <c r="Z151" i="39" s="1"/>
  <c r="T151" i="39"/>
  <c r="P151" i="39"/>
  <c r="L151" i="39"/>
  <c r="F173" i="39"/>
  <c r="X173" i="39"/>
  <c r="T173" i="39"/>
  <c r="P173" i="39"/>
  <c r="L173" i="39"/>
  <c r="M173" i="39" s="1"/>
  <c r="N173" i="39" s="1"/>
  <c r="F162" i="39"/>
  <c r="P162" i="39"/>
  <c r="X162" i="39"/>
  <c r="Y162" i="39" s="1"/>
  <c r="Z162" i="39" s="1"/>
  <c r="T162" i="39"/>
  <c r="U162" i="39" s="1"/>
  <c r="V162" i="39" s="1"/>
  <c r="L162" i="39"/>
  <c r="F102" i="39"/>
  <c r="X102" i="39"/>
  <c r="P102" i="39"/>
  <c r="Q102" i="39" s="1"/>
  <c r="R102" i="39" s="1"/>
  <c r="T102" i="39"/>
  <c r="L102" i="39"/>
  <c r="F120" i="39"/>
  <c r="X120" i="39"/>
  <c r="Y120" i="39" s="1"/>
  <c r="Z120" i="39" s="1"/>
  <c r="L120" i="39"/>
  <c r="T120" i="39"/>
  <c r="P120" i="39"/>
  <c r="T62" i="39"/>
  <c r="U62" i="39" s="1"/>
  <c r="V62" i="39" s="1"/>
  <c r="L62" i="39"/>
  <c r="P62" i="39"/>
  <c r="Q62" i="39" s="1"/>
  <c r="R62" i="39" s="1"/>
  <c r="F196" i="39"/>
  <c r="T196" i="39"/>
  <c r="U196" i="39" s="1"/>
  <c r="V196" i="39" s="1"/>
  <c r="L196" i="39"/>
  <c r="X196" i="39"/>
  <c r="P196" i="39"/>
  <c r="Q196" i="39" s="1"/>
  <c r="R196" i="39" s="1"/>
  <c r="F83" i="39"/>
  <c r="T83" i="39"/>
  <c r="P83" i="39"/>
  <c r="L83" i="39"/>
  <c r="X83" i="39"/>
  <c r="Y83" i="39" s="1"/>
  <c r="Z83" i="39" s="1"/>
  <c r="F145" i="39"/>
  <c r="X145" i="39"/>
  <c r="T145" i="39"/>
  <c r="L145" i="39"/>
  <c r="M145" i="39" s="1"/>
  <c r="N145" i="39" s="1"/>
  <c r="P145" i="39"/>
  <c r="F63" i="39"/>
  <c r="X63" i="39"/>
  <c r="T63" i="39"/>
  <c r="U63" i="39" s="1"/>
  <c r="V63" i="39" s="1"/>
  <c r="P63" i="39"/>
  <c r="L63" i="39"/>
  <c r="F155" i="39"/>
  <c r="X155" i="39"/>
  <c r="Y155" i="39" s="1"/>
  <c r="Z155" i="39" s="1"/>
  <c r="P155" i="39"/>
  <c r="L155" i="39"/>
  <c r="T155" i="39"/>
  <c r="F156" i="39"/>
  <c r="T156" i="39"/>
  <c r="X156" i="39"/>
  <c r="P156" i="39"/>
  <c r="L156" i="39"/>
  <c r="M156" i="39" s="1"/>
  <c r="N156" i="39" s="1"/>
  <c r="F158" i="39"/>
  <c r="X158" i="39"/>
  <c r="T158" i="39"/>
  <c r="P158" i="39"/>
  <c r="Q158" i="39" s="1"/>
  <c r="R158" i="39" s="1"/>
  <c r="L158" i="39"/>
  <c r="F105" i="39"/>
  <c r="P105" i="39"/>
  <c r="T105" i="39"/>
  <c r="U105" i="39" s="1"/>
  <c r="V105" i="39" s="1"/>
  <c r="L105" i="39"/>
  <c r="X105" i="39"/>
  <c r="F167" i="39"/>
  <c r="X167" i="39"/>
  <c r="Y167" i="39" s="1"/>
  <c r="Z167" i="39" s="1"/>
  <c r="T167" i="39"/>
  <c r="L167" i="39"/>
  <c r="P167" i="39"/>
  <c r="F181" i="39"/>
  <c r="X181" i="39"/>
  <c r="T181" i="39"/>
  <c r="P181" i="39"/>
  <c r="L181" i="39"/>
  <c r="M181" i="39" s="1"/>
  <c r="N181" i="39" s="1"/>
  <c r="F178" i="39"/>
  <c r="X178" i="39"/>
  <c r="T178" i="39"/>
  <c r="P178" i="39"/>
  <c r="Q178" i="39" s="1"/>
  <c r="R178" i="39" s="1"/>
  <c r="L178" i="39"/>
  <c r="F91" i="39"/>
  <c r="X91" i="39"/>
  <c r="P91" i="39"/>
  <c r="Q91" i="39" s="1"/>
  <c r="R91" i="39" s="1"/>
  <c r="T91" i="39"/>
  <c r="L91" i="39"/>
  <c r="F128" i="39"/>
  <c r="T128" i="39"/>
  <c r="U128" i="39" s="1"/>
  <c r="V128" i="39" s="1"/>
  <c r="X128" i="39"/>
  <c r="P128" i="39"/>
  <c r="L128" i="39"/>
  <c r="F202" i="39"/>
  <c r="X202" i="39"/>
  <c r="T202" i="39"/>
  <c r="P202" i="39"/>
  <c r="L202" i="39"/>
  <c r="M202" i="39" s="1"/>
  <c r="N202" i="39" s="1"/>
  <c r="F140" i="39"/>
  <c r="T140" i="39"/>
  <c r="X140" i="39"/>
  <c r="Y140" i="39" s="1"/>
  <c r="Z140" i="39" s="1"/>
  <c r="P140" i="39"/>
  <c r="Q140" i="39" s="1"/>
  <c r="R140" i="39" s="1"/>
  <c r="L140" i="39"/>
  <c r="F135" i="39"/>
  <c r="X135" i="39"/>
  <c r="T135" i="39"/>
  <c r="U135" i="39" s="1"/>
  <c r="V135" i="39" s="1"/>
  <c r="P135" i="39"/>
  <c r="L135" i="39"/>
  <c r="F94" i="39"/>
  <c r="X94" i="39"/>
  <c r="Y94" i="39" s="1"/>
  <c r="Z94" i="39" s="1"/>
  <c r="T94" i="39"/>
  <c r="P94" i="39"/>
  <c r="L94" i="39"/>
  <c r="F70" i="39"/>
  <c r="P70" i="39"/>
  <c r="X70" i="39"/>
  <c r="L70" i="39"/>
  <c r="T70" i="39"/>
  <c r="U70" i="39" s="1"/>
  <c r="V70" i="39" s="1"/>
  <c r="F71" i="39"/>
  <c r="T71" i="39"/>
  <c r="X71" i="39"/>
  <c r="P71" i="39"/>
  <c r="Q71" i="39" s="1"/>
  <c r="R71" i="39" s="1"/>
  <c r="L71" i="39"/>
  <c r="F84" i="39"/>
  <c r="T84" i="39"/>
  <c r="P84" i="39"/>
  <c r="Q84" i="39" s="1"/>
  <c r="R84" i="39" s="1"/>
  <c r="L84" i="39"/>
  <c r="X84" i="39"/>
  <c r="F187" i="39"/>
  <c r="X187" i="39"/>
  <c r="Y187" i="39" s="1"/>
  <c r="Z187" i="39" s="1"/>
  <c r="T187" i="39"/>
  <c r="P187" i="39"/>
  <c r="L187" i="39"/>
  <c r="F121" i="39"/>
  <c r="X121" i="39"/>
  <c r="T121" i="39"/>
  <c r="P121" i="39"/>
  <c r="L121" i="39"/>
  <c r="M121" i="39" s="1"/>
  <c r="N121" i="39" s="1"/>
  <c r="F197" i="39"/>
  <c r="T197" i="39"/>
  <c r="U197" i="39" s="1"/>
  <c r="V197" i="39" s="1"/>
  <c r="X197" i="39"/>
  <c r="L197" i="39"/>
  <c r="M197" i="39" s="1"/>
  <c r="N197" i="39" s="1"/>
  <c r="P197" i="39"/>
  <c r="F144" i="39"/>
  <c r="X144" i="39"/>
  <c r="T144" i="39"/>
  <c r="U144" i="39" s="1"/>
  <c r="V144" i="39" s="1"/>
  <c r="P144" i="39"/>
  <c r="L144" i="39"/>
  <c r="F130" i="39"/>
  <c r="P130" i="39"/>
  <c r="Q130" i="39" s="1"/>
  <c r="R130" i="39" s="1"/>
  <c r="X130" i="39"/>
  <c r="T130" i="39"/>
  <c r="L130" i="39"/>
  <c r="F104" i="39"/>
  <c r="P104" i="39"/>
  <c r="T104" i="39"/>
  <c r="L104" i="39"/>
  <c r="X104" i="39"/>
  <c r="Y104" i="39" s="1"/>
  <c r="Z104" i="39" s="1"/>
  <c r="F180" i="39"/>
  <c r="T180" i="39"/>
  <c r="X180" i="39"/>
  <c r="P180" i="39"/>
  <c r="Q180" i="39" s="1"/>
  <c r="R180" i="39" s="1"/>
  <c r="L180" i="39"/>
  <c r="F205" i="39"/>
  <c r="X205" i="39"/>
  <c r="T205" i="39"/>
  <c r="U205" i="39" s="1"/>
  <c r="V205" i="39" s="1"/>
  <c r="L205" i="39"/>
  <c r="P205" i="39"/>
  <c r="F147" i="39"/>
  <c r="T147" i="39"/>
  <c r="U147" i="39" s="1"/>
  <c r="V147" i="39" s="1"/>
  <c r="L147" i="39"/>
  <c r="X147" i="39"/>
  <c r="P147" i="39"/>
  <c r="F101" i="39"/>
  <c r="X101" i="39"/>
  <c r="L101" i="39"/>
  <c r="P101" i="39"/>
  <c r="Q101" i="39" s="1"/>
  <c r="R101" i="39" s="1"/>
  <c r="T101" i="39"/>
  <c r="U101" i="39" s="1"/>
  <c r="V101" i="39" s="1"/>
  <c r="F170" i="39"/>
  <c r="T170" i="39"/>
  <c r="P170" i="39"/>
  <c r="X170" i="39"/>
  <c r="Y170" i="39" s="1"/>
  <c r="Z170" i="39" s="1"/>
  <c r="L170" i="39"/>
  <c r="F95" i="39"/>
  <c r="P95" i="39"/>
  <c r="T95" i="39"/>
  <c r="U95" i="39" s="1"/>
  <c r="V95" i="39" s="1"/>
  <c r="L95" i="39"/>
  <c r="X95" i="39"/>
  <c r="F111" i="39"/>
  <c r="T111" i="39"/>
  <c r="U111" i="39" s="1"/>
  <c r="V111" i="39" s="1"/>
  <c r="X111" i="39"/>
  <c r="P111" i="39"/>
  <c r="Q111" i="39" s="1"/>
  <c r="R111" i="39" s="1"/>
  <c r="L111" i="39"/>
  <c r="F153" i="39"/>
  <c r="T153" i="39"/>
  <c r="P153" i="39"/>
  <c r="X153" i="39"/>
  <c r="L153" i="39"/>
  <c r="M153" i="39" s="1"/>
  <c r="N153" i="39" s="1"/>
  <c r="F122" i="39"/>
  <c r="X122" i="39"/>
  <c r="P122" i="39"/>
  <c r="T122" i="39"/>
  <c r="U122" i="39" s="1"/>
  <c r="V122" i="39" s="1"/>
  <c r="L122" i="39"/>
  <c r="F82" i="39"/>
  <c r="X82" i="39"/>
  <c r="T82" i="39"/>
  <c r="U82" i="39" s="1"/>
  <c r="V82" i="39" s="1"/>
  <c r="L82" i="39"/>
  <c r="P82" i="39"/>
  <c r="F100" i="39"/>
  <c r="X100" i="39"/>
  <c r="Y100" i="39" s="1"/>
  <c r="Z100" i="39" s="1"/>
  <c r="T100" i="39"/>
  <c r="P100" i="39"/>
  <c r="L100" i="39"/>
  <c r="F195" i="39"/>
  <c r="X195" i="39"/>
  <c r="P195" i="39"/>
  <c r="L195" i="39"/>
  <c r="T195" i="39"/>
  <c r="U195" i="39" s="1"/>
  <c r="V195" i="39" s="1"/>
  <c r="F176" i="39"/>
  <c r="T176" i="39"/>
  <c r="X176" i="39"/>
  <c r="P176" i="39"/>
  <c r="Q176" i="39" s="1"/>
  <c r="R176" i="39" s="1"/>
  <c r="L176" i="39"/>
  <c r="F198" i="39"/>
  <c r="P198" i="39"/>
  <c r="X198" i="39"/>
  <c r="Y198" i="39" s="1"/>
  <c r="Z198" i="39" s="1"/>
  <c r="T198" i="39"/>
  <c r="L198" i="39"/>
  <c r="F125" i="39"/>
  <c r="X125" i="39"/>
  <c r="Y125" i="39" s="1"/>
  <c r="Z125" i="39" s="1"/>
  <c r="T125" i="39"/>
  <c r="P125" i="39"/>
  <c r="L125" i="39"/>
  <c r="F206" i="39"/>
  <c r="X206" i="39"/>
  <c r="L206" i="39"/>
  <c r="T206" i="39"/>
  <c r="P206" i="39"/>
  <c r="Q206" i="39" s="1"/>
  <c r="R206" i="39" s="1"/>
  <c r="F201" i="39"/>
  <c r="T201" i="39"/>
  <c r="X201" i="39"/>
  <c r="Y201" i="39" s="1"/>
  <c r="Z201" i="39" s="1"/>
  <c r="P201" i="39"/>
  <c r="Q201" i="39" s="1"/>
  <c r="R201" i="39" s="1"/>
  <c r="L201" i="39"/>
  <c r="F68" i="39"/>
  <c r="X68" i="39"/>
  <c r="T68" i="39"/>
  <c r="U68" i="39" s="1"/>
  <c r="V68" i="39" s="1"/>
  <c r="L68" i="39"/>
  <c r="P68" i="39"/>
  <c r="F139" i="39"/>
  <c r="T139" i="39"/>
  <c r="U139" i="39" s="1"/>
  <c r="V139" i="39" s="1"/>
  <c r="P139" i="39"/>
  <c r="X139" i="39"/>
  <c r="L139" i="39"/>
  <c r="F148" i="39"/>
  <c r="T148" i="39"/>
  <c r="X148" i="39"/>
  <c r="P148" i="39"/>
  <c r="L148" i="39"/>
  <c r="M148" i="39" s="1"/>
  <c r="N148" i="39" s="1"/>
  <c r="F142" i="39"/>
  <c r="T142" i="39"/>
  <c r="X142" i="39"/>
  <c r="L142" i="39"/>
  <c r="M142" i="39" s="1"/>
  <c r="N142" i="39" s="1"/>
  <c r="P142" i="39"/>
  <c r="F160" i="39"/>
  <c r="T160" i="39"/>
  <c r="P160" i="39"/>
  <c r="Q160" i="39" s="1"/>
  <c r="R160" i="39" s="1"/>
  <c r="L160" i="39"/>
  <c r="X160" i="39"/>
  <c r="F166" i="39"/>
  <c r="X166" i="39"/>
  <c r="Y166" i="39" s="1"/>
  <c r="Z166" i="39" s="1"/>
  <c r="T166" i="39"/>
  <c r="P166" i="39"/>
  <c r="L166" i="39"/>
  <c r="F109" i="39"/>
  <c r="X109" i="39"/>
  <c r="P109" i="39"/>
  <c r="L109" i="39"/>
  <c r="T109" i="39"/>
  <c r="U109" i="39" s="1"/>
  <c r="V109" i="39" s="1"/>
  <c r="F175" i="39"/>
  <c r="X175" i="39"/>
  <c r="T175" i="39"/>
  <c r="P175" i="39"/>
  <c r="Q175" i="39" s="1"/>
  <c r="R175" i="39" s="1"/>
  <c r="L175" i="39"/>
  <c r="F185" i="39"/>
  <c r="T185" i="39"/>
  <c r="X185" i="39"/>
  <c r="Y185" i="39" s="1"/>
  <c r="Z185" i="39" s="1"/>
  <c r="P185" i="39"/>
  <c r="L185" i="39"/>
  <c r="F186" i="39"/>
  <c r="X186" i="39"/>
  <c r="Y186" i="39" s="1"/>
  <c r="Z186" i="39" s="1"/>
  <c r="P186" i="39"/>
  <c r="L186" i="39"/>
  <c r="T186" i="39"/>
  <c r="F107" i="39"/>
  <c r="X107" i="39"/>
  <c r="T107" i="39"/>
  <c r="L107" i="39"/>
  <c r="P107" i="39"/>
  <c r="Q107" i="39" s="1"/>
  <c r="R107" i="39" s="1"/>
  <c r="F132" i="39"/>
  <c r="X132" i="39"/>
  <c r="T132" i="39"/>
  <c r="L132" i="39"/>
  <c r="M132" i="39" s="1"/>
  <c r="N132" i="39" s="1"/>
  <c r="P132" i="39"/>
  <c r="F110" i="39"/>
  <c r="X110" i="39"/>
  <c r="P110" i="39"/>
  <c r="Q110" i="39" s="1"/>
  <c r="R110" i="39" s="1"/>
  <c r="T110" i="39"/>
  <c r="L110" i="39"/>
  <c r="F81" i="39"/>
  <c r="X81" i="39"/>
  <c r="Y81" i="39" s="1"/>
  <c r="Z81" i="39" s="1"/>
  <c r="T81" i="39"/>
  <c r="P81" i="39"/>
  <c r="L81" i="39"/>
  <c r="F103" i="39"/>
  <c r="X103" i="39"/>
  <c r="T103" i="39"/>
  <c r="P103" i="39"/>
  <c r="L103" i="39"/>
  <c r="M103" i="39" s="1"/>
  <c r="N103" i="39" s="1"/>
  <c r="F77" i="39"/>
  <c r="X77" i="39"/>
  <c r="T77" i="39"/>
  <c r="P77" i="39"/>
  <c r="Q77" i="39" s="1"/>
  <c r="R77" i="39" s="1"/>
  <c r="L77" i="39"/>
  <c r="F92" i="39"/>
  <c r="T92" i="39"/>
  <c r="X92" i="39"/>
  <c r="Y92" i="39" s="1"/>
  <c r="Z92" i="39" s="1"/>
  <c r="P92" i="39"/>
  <c r="Q92" i="39" s="1"/>
  <c r="R92" i="39" s="1"/>
  <c r="L92" i="39"/>
  <c r="F179" i="39"/>
  <c r="X179" i="39"/>
  <c r="Y179" i="39" s="1"/>
  <c r="Z179" i="39" s="1"/>
  <c r="T179" i="39"/>
  <c r="L179" i="39"/>
  <c r="P179" i="39"/>
  <c r="F168" i="39"/>
  <c r="T168" i="39"/>
  <c r="L168" i="39"/>
  <c r="X168" i="39"/>
  <c r="Y168" i="39" s="1"/>
  <c r="Z168" i="39" s="1"/>
  <c r="P168" i="39"/>
  <c r="Q168" i="39" s="1"/>
  <c r="R168" i="39" s="1"/>
  <c r="F182" i="39"/>
  <c r="T182" i="39"/>
  <c r="P182" i="39"/>
  <c r="X182" i="39"/>
  <c r="Y182" i="39" s="1"/>
  <c r="Z182" i="39" s="1"/>
  <c r="L182" i="39"/>
  <c r="F117" i="39"/>
  <c r="X117" i="39"/>
  <c r="T117" i="39"/>
  <c r="U117" i="39" s="1"/>
  <c r="V117" i="39" s="1"/>
  <c r="L117" i="39"/>
  <c r="P117" i="39"/>
  <c r="F191" i="39"/>
  <c r="T191" i="39"/>
  <c r="U191" i="39" s="1"/>
  <c r="V191" i="39" s="1"/>
  <c r="X191" i="39"/>
  <c r="P191" i="39"/>
  <c r="L191" i="39"/>
  <c r="F193" i="39"/>
  <c r="X193" i="39"/>
  <c r="T193" i="39"/>
  <c r="L193" i="39"/>
  <c r="P193" i="39"/>
  <c r="Q193" i="39" s="1"/>
  <c r="R193" i="39" s="1"/>
  <c r="U83" i="39"/>
  <c r="V83" i="39" s="1"/>
  <c r="M118" i="39"/>
  <c r="N118" i="39" s="1"/>
  <c r="M162" i="39"/>
  <c r="N162" i="39" s="1"/>
  <c r="Y164" i="39"/>
  <c r="Z164" i="39" s="1"/>
  <c r="H174" i="39"/>
  <c r="I174" i="39" s="1"/>
  <c r="J174" i="39" s="1"/>
  <c r="U119" i="39"/>
  <c r="V119" i="39" s="1"/>
  <c r="Y72" i="39"/>
  <c r="Z72" i="39" s="1"/>
  <c r="H143" i="39"/>
  <c r="I143" i="39" s="1"/>
  <c r="J143" i="39" s="1"/>
  <c r="Y116" i="39"/>
  <c r="Z116" i="39" s="1"/>
  <c r="Q104" i="39"/>
  <c r="R104" i="39" s="1"/>
  <c r="Y121" i="39"/>
  <c r="Z121" i="39" s="1"/>
  <c r="H126" i="39"/>
  <c r="I126" i="39" s="1"/>
  <c r="J126" i="39" s="1"/>
  <c r="Y203" i="39"/>
  <c r="Z203" i="39" s="1"/>
  <c r="Q121" i="39"/>
  <c r="R121" i="39" s="1"/>
  <c r="H180" i="39"/>
  <c r="I180" i="39" s="1"/>
  <c r="J180" i="39" s="1"/>
  <c r="T255" i="39"/>
  <c r="U255" i="39" s="1"/>
  <c r="V255" i="39" s="1"/>
  <c r="P255" i="39"/>
  <c r="Q255" i="39" s="1"/>
  <c r="R255" i="39" s="1"/>
  <c r="X255" i="39"/>
  <c r="Y255" i="39" s="1"/>
  <c r="Z255" i="39" s="1"/>
  <c r="H255" i="39"/>
  <c r="I255" i="39" s="1"/>
  <c r="J255" i="39" s="1"/>
  <c r="L255" i="39"/>
  <c r="M255" i="39" s="1"/>
  <c r="N255" i="39" s="1"/>
  <c r="T351" i="39"/>
  <c r="U351" i="39" s="1"/>
  <c r="V351" i="39" s="1"/>
  <c r="X351" i="39"/>
  <c r="Y351" i="39" s="1"/>
  <c r="Z351" i="39" s="1"/>
  <c r="P351" i="39"/>
  <c r="Q351" i="39" s="1"/>
  <c r="R351" i="39" s="1"/>
  <c r="L351" i="39"/>
  <c r="M351" i="39" s="1"/>
  <c r="N351" i="39" s="1"/>
  <c r="H351" i="39"/>
  <c r="I351" i="39" s="1"/>
  <c r="J351" i="39" s="1"/>
  <c r="X277" i="39"/>
  <c r="Y277" i="39" s="1"/>
  <c r="Z277" i="39" s="1"/>
  <c r="T277" i="39"/>
  <c r="U277" i="39" s="1"/>
  <c r="V277" i="39" s="1"/>
  <c r="L277" i="39"/>
  <c r="M277" i="39" s="1"/>
  <c r="N277" i="39" s="1"/>
  <c r="P277" i="39"/>
  <c r="Q277" i="39" s="1"/>
  <c r="R277" i="39" s="1"/>
  <c r="H277" i="39"/>
  <c r="I277" i="39" s="1"/>
  <c r="J277" i="39" s="1"/>
  <c r="X318" i="39"/>
  <c r="Y318" i="39" s="1"/>
  <c r="Z318" i="39" s="1"/>
  <c r="T318" i="39"/>
  <c r="U318" i="39" s="1"/>
  <c r="V318" i="39" s="1"/>
  <c r="L318" i="39"/>
  <c r="M318" i="39" s="1"/>
  <c r="N318" i="39" s="1"/>
  <c r="P318" i="39"/>
  <c r="Q318" i="39" s="1"/>
  <c r="R318" i="39" s="1"/>
  <c r="H318" i="39"/>
  <c r="I318" i="39" s="1"/>
  <c r="J318" i="39" s="1"/>
  <c r="X286" i="39"/>
  <c r="Y286" i="39" s="1"/>
  <c r="Z286" i="39" s="1"/>
  <c r="T286" i="39"/>
  <c r="U286" i="39" s="1"/>
  <c r="V286" i="39" s="1"/>
  <c r="L286" i="39"/>
  <c r="M286" i="39" s="1"/>
  <c r="N286" i="39" s="1"/>
  <c r="P286" i="39"/>
  <c r="Q286" i="39" s="1"/>
  <c r="R286" i="39" s="1"/>
  <c r="H286" i="39"/>
  <c r="I286" i="39" s="1"/>
  <c r="J286" i="39" s="1"/>
  <c r="X282" i="39"/>
  <c r="Y282" i="39" s="1"/>
  <c r="Z282" i="39" s="1"/>
  <c r="T282" i="39"/>
  <c r="U282" i="39" s="1"/>
  <c r="V282" i="39" s="1"/>
  <c r="L282" i="39"/>
  <c r="M282" i="39" s="1"/>
  <c r="N282" i="39" s="1"/>
  <c r="P282" i="39"/>
  <c r="Q282" i="39" s="1"/>
  <c r="R282" i="39" s="1"/>
  <c r="H282" i="39"/>
  <c r="I282" i="39" s="1"/>
  <c r="J282" i="39" s="1"/>
  <c r="X289" i="39"/>
  <c r="Y289" i="39" s="1"/>
  <c r="Z289" i="39" s="1"/>
  <c r="T289" i="39"/>
  <c r="U289" i="39" s="1"/>
  <c r="V289" i="39" s="1"/>
  <c r="L289" i="39"/>
  <c r="M289" i="39" s="1"/>
  <c r="N289" i="39" s="1"/>
  <c r="P289" i="39"/>
  <c r="Q289" i="39" s="1"/>
  <c r="R289" i="39" s="1"/>
  <c r="H289" i="39"/>
  <c r="I289" i="39" s="1"/>
  <c r="J289" i="39" s="1"/>
  <c r="X336" i="39"/>
  <c r="Y336" i="39" s="1"/>
  <c r="Z336" i="39" s="1"/>
  <c r="T336" i="39"/>
  <c r="U336" i="39" s="1"/>
  <c r="V336" i="39" s="1"/>
  <c r="P336" i="39"/>
  <c r="Q336" i="39" s="1"/>
  <c r="R336" i="39" s="1"/>
  <c r="L336" i="39"/>
  <c r="M336" i="39" s="1"/>
  <c r="N336" i="39" s="1"/>
  <c r="H336" i="39"/>
  <c r="I336" i="39" s="1"/>
  <c r="J336" i="39" s="1"/>
  <c r="T235" i="39"/>
  <c r="U235" i="39" s="1"/>
  <c r="V235" i="39" s="1"/>
  <c r="P235" i="39"/>
  <c r="Q235" i="39" s="1"/>
  <c r="R235" i="39" s="1"/>
  <c r="X235" i="39"/>
  <c r="Y235" i="39" s="1"/>
  <c r="Z235" i="39" s="1"/>
  <c r="L235" i="39"/>
  <c r="M235" i="39" s="1"/>
  <c r="N235" i="39" s="1"/>
  <c r="H235" i="39"/>
  <c r="I235" i="39" s="1"/>
  <c r="J235" i="39" s="1"/>
  <c r="X233" i="39"/>
  <c r="Y233" i="39" s="1"/>
  <c r="Z233" i="39" s="1"/>
  <c r="T233" i="39"/>
  <c r="U233" i="39" s="1"/>
  <c r="V233" i="39" s="1"/>
  <c r="P233" i="39"/>
  <c r="Q233" i="39" s="1"/>
  <c r="R233" i="39" s="1"/>
  <c r="L233" i="39"/>
  <c r="M233" i="39" s="1"/>
  <c r="N233" i="39" s="1"/>
  <c r="H233" i="39"/>
  <c r="I233" i="39" s="1"/>
  <c r="J233" i="39" s="1"/>
  <c r="X341" i="39"/>
  <c r="Y341" i="39" s="1"/>
  <c r="Z341" i="39" s="1"/>
  <c r="T341" i="39"/>
  <c r="U341" i="39" s="1"/>
  <c r="V341" i="39" s="1"/>
  <c r="L341" i="39"/>
  <c r="M341" i="39" s="1"/>
  <c r="N341" i="39" s="1"/>
  <c r="P341" i="39"/>
  <c r="Q341" i="39" s="1"/>
  <c r="R341" i="39" s="1"/>
  <c r="H341" i="39"/>
  <c r="I341" i="39" s="1"/>
  <c r="J341" i="39" s="1"/>
  <c r="X250" i="39"/>
  <c r="Y250" i="39" s="1"/>
  <c r="Z250" i="39" s="1"/>
  <c r="T250" i="39"/>
  <c r="U250" i="39" s="1"/>
  <c r="V250" i="39" s="1"/>
  <c r="P250" i="39"/>
  <c r="Q250" i="39" s="1"/>
  <c r="R250" i="39" s="1"/>
  <c r="L250" i="39"/>
  <c r="M250" i="39" s="1"/>
  <c r="N250" i="39" s="1"/>
  <c r="H250" i="39"/>
  <c r="X262" i="39"/>
  <c r="Y262" i="39" s="1"/>
  <c r="Z262" i="39" s="1"/>
  <c r="T262" i="39"/>
  <c r="U262" i="39" s="1"/>
  <c r="V262" i="39" s="1"/>
  <c r="L262" i="39"/>
  <c r="M262" i="39" s="1"/>
  <c r="N262" i="39" s="1"/>
  <c r="P262" i="39"/>
  <c r="Q262" i="39" s="1"/>
  <c r="R262" i="39" s="1"/>
  <c r="H262" i="39"/>
  <c r="I262" i="39" s="1"/>
  <c r="J262" i="39" s="1"/>
  <c r="X328" i="39"/>
  <c r="Y328" i="39" s="1"/>
  <c r="Z328" i="39" s="1"/>
  <c r="T328" i="39"/>
  <c r="U328" i="39" s="1"/>
  <c r="V328" i="39" s="1"/>
  <c r="P328" i="39"/>
  <c r="Q328" i="39" s="1"/>
  <c r="R328" i="39" s="1"/>
  <c r="L328" i="39"/>
  <c r="M328" i="39" s="1"/>
  <c r="N328" i="39" s="1"/>
  <c r="H328" i="39"/>
  <c r="I328" i="39" s="1"/>
  <c r="J328" i="39" s="1"/>
  <c r="P230" i="39"/>
  <c r="Q230" i="39" s="1"/>
  <c r="R230" i="39" s="1"/>
  <c r="X230" i="39"/>
  <c r="Y230" i="39" s="1"/>
  <c r="Z230" i="39" s="1"/>
  <c r="T230" i="39"/>
  <c r="U230" i="39" s="1"/>
  <c r="V230" i="39" s="1"/>
  <c r="L230" i="39"/>
  <c r="M230" i="39" s="1"/>
  <c r="N230" i="39" s="1"/>
  <c r="H230" i="39"/>
  <c r="I230" i="39" s="1"/>
  <c r="J230" i="39" s="1"/>
  <c r="T315" i="39"/>
  <c r="U315" i="39" s="1"/>
  <c r="V315" i="39" s="1"/>
  <c r="X315" i="39"/>
  <c r="Y315" i="39" s="1"/>
  <c r="Z315" i="39" s="1"/>
  <c r="H315" i="39"/>
  <c r="I315" i="39" s="1"/>
  <c r="J315" i="39" s="1"/>
  <c r="L315" i="39"/>
  <c r="M315" i="39" s="1"/>
  <c r="N315" i="39" s="1"/>
  <c r="P315" i="39"/>
  <c r="Q315" i="39" s="1"/>
  <c r="R315" i="39" s="1"/>
  <c r="X316" i="39"/>
  <c r="Y316" i="39" s="1"/>
  <c r="Z316" i="39" s="1"/>
  <c r="T316" i="39"/>
  <c r="U316" i="39" s="1"/>
  <c r="V316" i="39" s="1"/>
  <c r="P316" i="39"/>
  <c r="Q316" i="39" s="1"/>
  <c r="R316" i="39" s="1"/>
  <c r="H316" i="39"/>
  <c r="I316" i="39" s="1"/>
  <c r="J316" i="39" s="1"/>
  <c r="L316" i="39"/>
  <c r="M316" i="39" s="1"/>
  <c r="N316" i="39" s="1"/>
  <c r="T223" i="39"/>
  <c r="U223" i="39" s="1"/>
  <c r="V223" i="39" s="1"/>
  <c r="P223" i="39"/>
  <c r="Q223" i="39" s="1"/>
  <c r="R223" i="39" s="1"/>
  <c r="X223" i="39"/>
  <c r="Y223" i="39" s="1"/>
  <c r="Z223" i="39" s="1"/>
  <c r="L223" i="39"/>
  <c r="M223" i="39" s="1"/>
  <c r="N223" i="39" s="1"/>
  <c r="H223" i="39"/>
  <c r="I223" i="39" s="1"/>
  <c r="J223" i="39" s="1"/>
  <c r="X326" i="39"/>
  <c r="Y326" i="39" s="1"/>
  <c r="Z326" i="39" s="1"/>
  <c r="T326" i="39"/>
  <c r="U326" i="39" s="1"/>
  <c r="V326" i="39" s="1"/>
  <c r="L326" i="39"/>
  <c r="M326" i="39" s="1"/>
  <c r="N326" i="39" s="1"/>
  <c r="H326" i="39"/>
  <c r="I326" i="39" s="1"/>
  <c r="J326" i="39" s="1"/>
  <c r="P326" i="39"/>
  <c r="Q326" i="39" s="1"/>
  <c r="R326" i="39" s="1"/>
  <c r="X356" i="39"/>
  <c r="Y356" i="39" s="1"/>
  <c r="Z356" i="39" s="1"/>
  <c r="T356" i="39"/>
  <c r="U356" i="39" s="1"/>
  <c r="V356" i="39" s="1"/>
  <c r="P356" i="39"/>
  <c r="Q356" i="39" s="1"/>
  <c r="R356" i="39" s="1"/>
  <c r="H356" i="39"/>
  <c r="I356" i="39" s="1"/>
  <c r="J356" i="39" s="1"/>
  <c r="L356" i="39"/>
  <c r="M356" i="39" s="1"/>
  <c r="N356" i="39" s="1"/>
  <c r="T275" i="39"/>
  <c r="U275" i="39" s="1"/>
  <c r="V275" i="39" s="1"/>
  <c r="X275" i="39"/>
  <c r="Y275" i="39" s="1"/>
  <c r="Z275" i="39" s="1"/>
  <c r="L275" i="39"/>
  <c r="M275" i="39" s="1"/>
  <c r="N275" i="39" s="1"/>
  <c r="P275" i="39"/>
  <c r="Q275" i="39" s="1"/>
  <c r="R275" i="39" s="1"/>
  <c r="H275" i="39"/>
  <c r="I275" i="39" s="1"/>
  <c r="J275" i="39" s="1"/>
  <c r="X248" i="39"/>
  <c r="Y248" i="39" s="1"/>
  <c r="Z248" i="39" s="1"/>
  <c r="T248" i="39"/>
  <c r="U248" i="39" s="1"/>
  <c r="V248" i="39" s="1"/>
  <c r="P248" i="39"/>
  <c r="Q248" i="39" s="1"/>
  <c r="R248" i="39" s="1"/>
  <c r="H248" i="39"/>
  <c r="I248" i="39" s="1"/>
  <c r="J248" i="39" s="1"/>
  <c r="L248" i="39"/>
  <c r="M248" i="39" s="1"/>
  <c r="N248" i="39" s="1"/>
  <c r="X290" i="39"/>
  <c r="Y290" i="39" s="1"/>
  <c r="Z290" i="39" s="1"/>
  <c r="T290" i="39"/>
  <c r="U290" i="39" s="1"/>
  <c r="V290" i="39" s="1"/>
  <c r="L290" i="39"/>
  <c r="M290" i="39" s="1"/>
  <c r="N290" i="39" s="1"/>
  <c r="P290" i="39"/>
  <c r="Q290" i="39" s="1"/>
  <c r="R290" i="39" s="1"/>
  <c r="H290" i="39"/>
  <c r="I290" i="39" s="1"/>
  <c r="J290" i="39" s="1"/>
  <c r="T219" i="39"/>
  <c r="U219" i="39" s="1"/>
  <c r="V219" i="39" s="1"/>
  <c r="P219" i="39"/>
  <c r="Q219" i="39" s="1"/>
  <c r="R219" i="39" s="1"/>
  <c r="X219" i="39"/>
  <c r="Y219" i="39" s="1"/>
  <c r="Z219" i="39" s="1"/>
  <c r="L219" i="39"/>
  <c r="M219" i="39" s="1"/>
  <c r="N219" i="39" s="1"/>
  <c r="H219" i="39"/>
  <c r="I219" i="39" s="1"/>
  <c r="J219" i="39" s="1"/>
  <c r="X304" i="39"/>
  <c r="Y304" i="39" s="1"/>
  <c r="Z304" i="39" s="1"/>
  <c r="T304" i="39"/>
  <c r="U304" i="39" s="1"/>
  <c r="V304" i="39" s="1"/>
  <c r="P304" i="39"/>
  <c r="Q304" i="39" s="1"/>
  <c r="R304" i="39" s="1"/>
  <c r="H304" i="39"/>
  <c r="I304" i="39" s="1"/>
  <c r="J304" i="39" s="1"/>
  <c r="L304" i="39"/>
  <c r="M304" i="39" s="1"/>
  <c r="N304" i="39" s="1"/>
  <c r="X325" i="39"/>
  <c r="Y325" i="39" s="1"/>
  <c r="Z325" i="39" s="1"/>
  <c r="T325" i="39"/>
  <c r="U325" i="39" s="1"/>
  <c r="V325" i="39" s="1"/>
  <c r="L325" i="39"/>
  <c r="M325" i="39" s="1"/>
  <c r="N325" i="39" s="1"/>
  <c r="P325" i="39"/>
  <c r="Q325" i="39" s="1"/>
  <c r="R325" i="39" s="1"/>
  <c r="H325" i="39"/>
  <c r="I325" i="39" s="1"/>
  <c r="J325" i="39" s="1"/>
  <c r="X301" i="39"/>
  <c r="Y301" i="39" s="1"/>
  <c r="Z301" i="39" s="1"/>
  <c r="T301" i="39"/>
  <c r="U301" i="39" s="1"/>
  <c r="V301" i="39" s="1"/>
  <c r="L301" i="39"/>
  <c r="M301" i="39" s="1"/>
  <c r="N301" i="39" s="1"/>
  <c r="P301" i="39"/>
  <c r="Q301" i="39" s="1"/>
  <c r="R301" i="39" s="1"/>
  <c r="H301" i="39"/>
  <c r="I301" i="39" s="1"/>
  <c r="J301" i="39" s="1"/>
  <c r="X217" i="39"/>
  <c r="Y217" i="39" s="1"/>
  <c r="Z217" i="39" s="1"/>
  <c r="T217" i="39"/>
  <c r="U217" i="39" s="1"/>
  <c r="V217" i="39" s="1"/>
  <c r="P217" i="39"/>
  <c r="Q217" i="39" s="1"/>
  <c r="R217" i="39" s="1"/>
  <c r="L217" i="39"/>
  <c r="M217" i="39" s="1"/>
  <c r="N217" i="39" s="1"/>
  <c r="H217" i="39"/>
  <c r="I217" i="39" s="1"/>
  <c r="J217" i="39" s="1"/>
  <c r="P242" i="39"/>
  <c r="Q242" i="39" s="1"/>
  <c r="R242" i="39" s="1"/>
  <c r="X242" i="39"/>
  <c r="Y242" i="39" s="1"/>
  <c r="Z242" i="39" s="1"/>
  <c r="T242" i="39"/>
  <c r="U242" i="39" s="1"/>
  <c r="V242" i="39" s="1"/>
  <c r="L242" i="39"/>
  <c r="M242" i="39" s="1"/>
  <c r="N242" i="39" s="1"/>
  <c r="H242" i="39"/>
  <c r="I242" i="39" s="1"/>
  <c r="J242" i="39" s="1"/>
  <c r="X321" i="39"/>
  <c r="Y321" i="39" s="1"/>
  <c r="Z321" i="39" s="1"/>
  <c r="T321" i="39"/>
  <c r="U321" i="39" s="1"/>
  <c r="V321" i="39" s="1"/>
  <c r="L321" i="39"/>
  <c r="M321" i="39" s="1"/>
  <c r="N321" i="39" s="1"/>
  <c r="P321" i="39"/>
  <c r="Q321" i="39" s="1"/>
  <c r="R321" i="39" s="1"/>
  <c r="H321" i="39"/>
  <c r="I321" i="39" s="1"/>
  <c r="J321" i="39" s="1"/>
  <c r="X228" i="39"/>
  <c r="Y228" i="39" s="1"/>
  <c r="Z228" i="39" s="1"/>
  <c r="T228" i="39"/>
  <c r="U228" i="39" s="1"/>
  <c r="V228" i="39" s="1"/>
  <c r="P228" i="39"/>
  <c r="Q228" i="39" s="1"/>
  <c r="R228" i="39" s="1"/>
  <c r="H228" i="39"/>
  <c r="I228" i="39" s="1"/>
  <c r="J228" i="39" s="1"/>
  <c r="L228" i="39"/>
  <c r="M228" i="39" s="1"/>
  <c r="N228" i="39" s="1"/>
  <c r="X332" i="39"/>
  <c r="Y332" i="39" s="1"/>
  <c r="Z332" i="39" s="1"/>
  <c r="T332" i="39"/>
  <c r="U332" i="39" s="1"/>
  <c r="V332" i="39" s="1"/>
  <c r="P332" i="39"/>
  <c r="Q332" i="39" s="1"/>
  <c r="R332" i="39" s="1"/>
  <c r="H332" i="39"/>
  <c r="I332" i="39" s="1"/>
  <c r="J332" i="39" s="1"/>
  <c r="L332" i="39"/>
  <c r="M332" i="39" s="1"/>
  <c r="N332" i="39" s="1"/>
  <c r="X302" i="39"/>
  <c r="Y302" i="39" s="1"/>
  <c r="Z302" i="39" s="1"/>
  <c r="T302" i="39"/>
  <c r="U302" i="39" s="1"/>
  <c r="V302" i="39" s="1"/>
  <c r="L302" i="39"/>
  <c r="M302" i="39" s="1"/>
  <c r="N302" i="39" s="1"/>
  <c r="P302" i="39"/>
  <c r="Q302" i="39" s="1"/>
  <c r="R302" i="39" s="1"/>
  <c r="H302" i="39"/>
  <c r="I302" i="39" s="1"/>
  <c r="J302" i="39" s="1"/>
  <c r="P218" i="39"/>
  <c r="Q218" i="39" s="1"/>
  <c r="R218" i="39" s="1"/>
  <c r="X218" i="39"/>
  <c r="Y218" i="39" s="1"/>
  <c r="Z218" i="39" s="1"/>
  <c r="T218" i="39"/>
  <c r="U218" i="39" s="1"/>
  <c r="V218" i="39" s="1"/>
  <c r="L218" i="39"/>
  <c r="M218" i="39" s="1"/>
  <c r="N218" i="39" s="1"/>
  <c r="H218" i="39"/>
  <c r="I218" i="39" s="1"/>
  <c r="J218" i="39" s="1"/>
  <c r="X297" i="39"/>
  <c r="Y297" i="39" s="1"/>
  <c r="Z297" i="39" s="1"/>
  <c r="T297" i="39"/>
  <c r="U297" i="39" s="1"/>
  <c r="V297" i="39" s="1"/>
  <c r="L297" i="39"/>
  <c r="M297" i="39" s="1"/>
  <c r="N297" i="39" s="1"/>
  <c r="P297" i="39"/>
  <c r="Q297" i="39" s="1"/>
  <c r="R297" i="39" s="1"/>
  <c r="H297" i="39"/>
  <c r="I297" i="39" s="1"/>
  <c r="J297" i="39" s="1"/>
  <c r="X246" i="39"/>
  <c r="Y246" i="39" s="1"/>
  <c r="Z246" i="39" s="1"/>
  <c r="T246" i="39"/>
  <c r="U246" i="39" s="1"/>
  <c r="V246" i="39" s="1"/>
  <c r="P246" i="39"/>
  <c r="Q246" i="39" s="1"/>
  <c r="R246" i="39" s="1"/>
  <c r="L246" i="39"/>
  <c r="M246" i="39" s="1"/>
  <c r="N246" i="39" s="1"/>
  <c r="H246" i="39"/>
  <c r="I246" i="39" s="1"/>
  <c r="J246" i="39" s="1"/>
  <c r="X269" i="39"/>
  <c r="Y269" i="39" s="1"/>
  <c r="Z269" i="39" s="1"/>
  <c r="T269" i="39"/>
  <c r="U269" i="39" s="1"/>
  <c r="V269" i="39" s="1"/>
  <c r="L269" i="39"/>
  <c r="M269" i="39" s="1"/>
  <c r="N269" i="39" s="1"/>
  <c r="P269" i="39"/>
  <c r="Q269" i="39" s="1"/>
  <c r="R269" i="39" s="1"/>
  <c r="H269" i="39"/>
  <c r="I269" i="39" s="1"/>
  <c r="J269" i="39" s="1"/>
  <c r="X312" i="39"/>
  <c r="Y312" i="39" s="1"/>
  <c r="Z312" i="39" s="1"/>
  <c r="T312" i="39"/>
  <c r="U312" i="39" s="1"/>
  <c r="V312" i="39" s="1"/>
  <c r="P312" i="39"/>
  <c r="Q312" i="39" s="1"/>
  <c r="R312" i="39" s="1"/>
  <c r="L312" i="39"/>
  <c r="M312" i="39" s="1"/>
  <c r="N312" i="39" s="1"/>
  <c r="H312" i="39"/>
  <c r="I312" i="39" s="1"/>
  <c r="J312" i="39" s="1"/>
  <c r="L220" i="39"/>
  <c r="M220" i="39" s="1"/>
  <c r="N220" i="39" s="1"/>
  <c r="X220" i="39"/>
  <c r="Y220" i="39" s="1"/>
  <c r="Z220" i="39" s="1"/>
  <c r="T220" i="39"/>
  <c r="U220" i="39" s="1"/>
  <c r="V220" i="39" s="1"/>
  <c r="P220" i="39"/>
  <c r="Q220" i="39" s="1"/>
  <c r="R220" i="39" s="1"/>
  <c r="H220" i="39"/>
  <c r="I220" i="39" s="1"/>
  <c r="J220" i="39" s="1"/>
  <c r="X298" i="39"/>
  <c r="Y298" i="39" s="1"/>
  <c r="Z298" i="39" s="1"/>
  <c r="T298" i="39"/>
  <c r="U298" i="39" s="1"/>
  <c r="V298" i="39" s="1"/>
  <c r="L298" i="39"/>
  <c r="M298" i="39" s="1"/>
  <c r="N298" i="39" s="1"/>
  <c r="P298" i="39"/>
  <c r="Q298" i="39" s="1"/>
  <c r="R298" i="39" s="1"/>
  <c r="H298" i="39"/>
  <c r="I298" i="39" s="1"/>
  <c r="J298" i="39" s="1"/>
  <c r="X249" i="39"/>
  <c r="Y249" i="39" s="1"/>
  <c r="Z249" i="39" s="1"/>
  <c r="T249" i="39"/>
  <c r="U249" i="39" s="1"/>
  <c r="V249" i="39" s="1"/>
  <c r="P249" i="39"/>
  <c r="Q249" i="39" s="1"/>
  <c r="R249" i="39" s="1"/>
  <c r="L249" i="39"/>
  <c r="H249" i="39"/>
  <c r="I249" i="39" s="1"/>
  <c r="J249" i="39" s="1"/>
  <c r="X334" i="39"/>
  <c r="Y334" i="39" s="1"/>
  <c r="Z334" i="39" s="1"/>
  <c r="T334" i="39"/>
  <c r="U334" i="39" s="1"/>
  <c r="V334" i="39" s="1"/>
  <c r="L334" i="39"/>
  <c r="M334" i="39" s="1"/>
  <c r="N334" i="39" s="1"/>
  <c r="P334" i="39"/>
  <c r="Q334" i="39" s="1"/>
  <c r="R334" i="39" s="1"/>
  <c r="H334" i="39"/>
  <c r="I334" i="39" s="1"/>
  <c r="J334" i="39" s="1"/>
  <c r="T343" i="39"/>
  <c r="U343" i="39" s="1"/>
  <c r="V343" i="39" s="1"/>
  <c r="X343" i="39"/>
  <c r="Y343" i="39" s="1"/>
  <c r="Z343" i="39" s="1"/>
  <c r="P343" i="39"/>
  <c r="Q343" i="39" s="1"/>
  <c r="R343" i="39" s="1"/>
  <c r="L343" i="39"/>
  <c r="M343" i="39" s="1"/>
  <c r="N343" i="39" s="1"/>
  <c r="H343" i="39"/>
  <c r="I343" i="39" s="1"/>
  <c r="J343" i="39" s="1"/>
  <c r="T271" i="39"/>
  <c r="U271" i="39" s="1"/>
  <c r="V271" i="39" s="1"/>
  <c r="X271" i="39"/>
  <c r="Y271" i="39" s="1"/>
  <c r="Z271" i="39" s="1"/>
  <c r="L271" i="39"/>
  <c r="M271" i="39" s="1"/>
  <c r="N271" i="39" s="1"/>
  <c r="P271" i="39"/>
  <c r="Q271" i="39" s="1"/>
  <c r="R271" i="39" s="1"/>
  <c r="H271" i="39"/>
  <c r="I271" i="39" s="1"/>
  <c r="J271" i="39" s="1"/>
  <c r="X244" i="39"/>
  <c r="Y244" i="39" s="1"/>
  <c r="Z244" i="39" s="1"/>
  <c r="T244" i="39"/>
  <c r="U244" i="39" s="1"/>
  <c r="V244" i="39" s="1"/>
  <c r="P244" i="39"/>
  <c r="Q244" i="39" s="1"/>
  <c r="R244" i="39" s="1"/>
  <c r="H244" i="39"/>
  <c r="I244" i="39" s="1"/>
  <c r="J244" i="39" s="1"/>
  <c r="L244" i="39"/>
  <c r="M244" i="39" s="1"/>
  <c r="N244" i="39" s="1"/>
  <c r="T231" i="39"/>
  <c r="U231" i="39" s="1"/>
  <c r="V231" i="39" s="1"/>
  <c r="P231" i="39"/>
  <c r="Q231" i="39" s="1"/>
  <c r="R231" i="39" s="1"/>
  <c r="X231" i="39"/>
  <c r="Y231" i="39" s="1"/>
  <c r="Z231" i="39" s="1"/>
  <c r="H231" i="39"/>
  <c r="I231" i="39" s="1"/>
  <c r="J231" i="39" s="1"/>
  <c r="L231" i="39"/>
  <c r="M231" i="39" s="1"/>
  <c r="N231" i="39" s="1"/>
  <c r="X354" i="39"/>
  <c r="Y354" i="39" s="1"/>
  <c r="Z354" i="39" s="1"/>
  <c r="T354" i="39"/>
  <c r="U354" i="39" s="1"/>
  <c r="V354" i="39" s="1"/>
  <c r="L354" i="39"/>
  <c r="M354" i="39" s="1"/>
  <c r="N354" i="39" s="1"/>
  <c r="P354" i="39"/>
  <c r="Q354" i="39" s="1"/>
  <c r="R354" i="39" s="1"/>
  <c r="H354" i="39"/>
  <c r="I354" i="39" s="1"/>
  <c r="J354" i="39" s="1"/>
  <c r="T267" i="39"/>
  <c r="U267" i="39" s="1"/>
  <c r="V267" i="39" s="1"/>
  <c r="X267" i="39"/>
  <c r="Y267" i="39" s="1"/>
  <c r="Z267" i="39" s="1"/>
  <c r="L267" i="39"/>
  <c r="M267" i="39" s="1"/>
  <c r="N267" i="39" s="1"/>
  <c r="P267" i="39"/>
  <c r="Q267" i="39" s="1"/>
  <c r="R267" i="39" s="1"/>
  <c r="H267" i="39"/>
  <c r="I267" i="39" s="1"/>
  <c r="J267" i="39" s="1"/>
  <c r="L214" i="39"/>
  <c r="M214" i="39" s="1"/>
  <c r="N214" i="39" s="1"/>
  <c r="H214" i="39"/>
  <c r="I214" i="39" s="1"/>
  <c r="J214" i="39" s="1"/>
  <c r="X214" i="39"/>
  <c r="Y214" i="39" s="1"/>
  <c r="Z214" i="39" s="1"/>
  <c r="T214" i="39"/>
  <c r="U214" i="39" s="1"/>
  <c r="V214" i="39" s="1"/>
  <c r="P214" i="39"/>
  <c r="Q214" i="39" s="1"/>
  <c r="R214" i="39" s="1"/>
  <c r="X340" i="39"/>
  <c r="Y340" i="39" s="1"/>
  <c r="Z340" i="39" s="1"/>
  <c r="T340" i="39"/>
  <c r="U340" i="39" s="1"/>
  <c r="V340" i="39" s="1"/>
  <c r="P340" i="39"/>
  <c r="Q340" i="39" s="1"/>
  <c r="R340" i="39" s="1"/>
  <c r="H340" i="39"/>
  <c r="I340" i="39" s="1"/>
  <c r="J340" i="39" s="1"/>
  <c r="L340" i="39"/>
  <c r="M340" i="39" s="1"/>
  <c r="N340" i="39" s="1"/>
  <c r="P238" i="39"/>
  <c r="Q238" i="39" s="1"/>
  <c r="R238" i="39" s="1"/>
  <c r="X238" i="39"/>
  <c r="Y238" i="39" s="1"/>
  <c r="Z238" i="39" s="1"/>
  <c r="T238" i="39"/>
  <c r="U238" i="39" s="1"/>
  <c r="V238" i="39" s="1"/>
  <c r="L238" i="39"/>
  <c r="M238" i="39" s="1"/>
  <c r="N238" i="39" s="1"/>
  <c r="H238" i="39"/>
  <c r="I238" i="39" s="1"/>
  <c r="J238" i="39" s="1"/>
  <c r="X240" i="39"/>
  <c r="Y240" i="39" s="1"/>
  <c r="Z240" i="39" s="1"/>
  <c r="T240" i="39"/>
  <c r="U240" i="39" s="1"/>
  <c r="V240" i="39" s="1"/>
  <c r="P240" i="39"/>
  <c r="Q240" i="39" s="1"/>
  <c r="R240" i="39" s="1"/>
  <c r="H240" i="39"/>
  <c r="I240" i="39" s="1"/>
  <c r="J240" i="39" s="1"/>
  <c r="L240" i="39"/>
  <c r="X264" i="39"/>
  <c r="Y264" i="39" s="1"/>
  <c r="Z264" i="39" s="1"/>
  <c r="T264" i="39"/>
  <c r="U264" i="39" s="1"/>
  <c r="V264" i="39" s="1"/>
  <c r="P264" i="39"/>
  <c r="Q264" i="39" s="1"/>
  <c r="R264" i="39" s="1"/>
  <c r="H264" i="39"/>
  <c r="I264" i="39" s="1"/>
  <c r="J264" i="39" s="1"/>
  <c r="L264" i="39"/>
  <c r="M264" i="39" s="1"/>
  <c r="N264" i="39" s="1"/>
  <c r="X216" i="39"/>
  <c r="Y216" i="39" s="1"/>
  <c r="Z216" i="39" s="1"/>
  <c r="L216" i="39"/>
  <c r="M216" i="39" s="1"/>
  <c r="N216" i="39" s="1"/>
  <c r="T216" i="39"/>
  <c r="U216" i="39" s="1"/>
  <c r="V216" i="39" s="1"/>
  <c r="P216" i="39"/>
  <c r="Q216" i="39" s="1"/>
  <c r="R216" i="39" s="1"/>
  <c r="H216" i="39"/>
  <c r="I216" i="39" s="1"/>
  <c r="J216" i="39" s="1"/>
  <c r="T251" i="39"/>
  <c r="U251" i="39" s="1"/>
  <c r="V251" i="39" s="1"/>
  <c r="P251" i="39"/>
  <c r="Q251" i="39" s="1"/>
  <c r="R251" i="39" s="1"/>
  <c r="X251" i="39"/>
  <c r="Y251" i="39" s="1"/>
  <c r="Z251" i="39" s="1"/>
  <c r="L251" i="39"/>
  <c r="M251" i="39" s="1"/>
  <c r="N251" i="39" s="1"/>
  <c r="H251" i="39"/>
  <c r="I251" i="39" s="1"/>
  <c r="J251" i="39" s="1"/>
  <c r="X294" i="39"/>
  <c r="Y294" i="39" s="1"/>
  <c r="Z294" i="39" s="1"/>
  <c r="T294" i="39"/>
  <c r="U294" i="39" s="1"/>
  <c r="V294" i="39" s="1"/>
  <c r="L294" i="39"/>
  <c r="M294" i="39" s="1"/>
  <c r="N294" i="39" s="1"/>
  <c r="P294" i="39"/>
  <c r="Q294" i="39" s="1"/>
  <c r="R294" i="39" s="1"/>
  <c r="H294" i="39"/>
  <c r="I294" i="39" s="1"/>
  <c r="J294" i="39" s="1"/>
  <c r="T239" i="39"/>
  <c r="U239" i="39" s="1"/>
  <c r="V239" i="39" s="1"/>
  <c r="P239" i="39"/>
  <c r="Q239" i="39" s="1"/>
  <c r="R239" i="39" s="1"/>
  <c r="X239" i="39"/>
  <c r="Y239" i="39" s="1"/>
  <c r="Z239" i="39" s="1"/>
  <c r="H239" i="39"/>
  <c r="I239" i="39" s="1"/>
  <c r="J239" i="39" s="1"/>
  <c r="L239" i="39"/>
  <c r="M239" i="39" s="1"/>
  <c r="N239" i="39" s="1"/>
  <c r="T323" i="39"/>
  <c r="U323" i="39" s="1"/>
  <c r="V323" i="39" s="1"/>
  <c r="X323" i="39"/>
  <c r="Y323" i="39" s="1"/>
  <c r="Z323" i="39" s="1"/>
  <c r="L323" i="39"/>
  <c r="M323" i="39" s="1"/>
  <c r="N323" i="39" s="1"/>
  <c r="P323" i="39"/>
  <c r="Q323" i="39" s="1"/>
  <c r="R323" i="39" s="1"/>
  <c r="H323" i="39"/>
  <c r="I323" i="39" s="1"/>
  <c r="J323" i="39" s="1"/>
  <c r="X308" i="39"/>
  <c r="Y308" i="39" s="1"/>
  <c r="Z308" i="39" s="1"/>
  <c r="T308" i="39"/>
  <c r="U308" i="39" s="1"/>
  <c r="V308" i="39" s="1"/>
  <c r="P308" i="39"/>
  <c r="Q308" i="39" s="1"/>
  <c r="R308" i="39" s="1"/>
  <c r="H308" i="39"/>
  <c r="I308" i="39" s="1"/>
  <c r="J308" i="39" s="1"/>
  <c r="L308" i="39"/>
  <c r="M308" i="39" s="1"/>
  <c r="N308" i="39" s="1"/>
  <c r="X288" i="39"/>
  <c r="Y288" i="39" s="1"/>
  <c r="Z288" i="39" s="1"/>
  <c r="T288" i="39"/>
  <c r="U288" i="39" s="1"/>
  <c r="V288" i="39" s="1"/>
  <c r="P288" i="39"/>
  <c r="Q288" i="39" s="1"/>
  <c r="R288" i="39" s="1"/>
  <c r="H288" i="39"/>
  <c r="I288" i="39" s="1"/>
  <c r="J288" i="39" s="1"/>
  <c r="L288" i="39"/>
  <c r="X278" i="39"/>
  <c r="Y278" i="39" s="1"/>
  <c r="Z278" i="39" s="1"/>
  <c r="T278" i="39"/>
  <c r="U278" i="39" s="1"/>
  <c r="V278" i="39" s="1"/>
  <c r="L278" i="39"/>
  <c r="M278" i="39" s="1"/>
  <c r="N278" i="39" s="1"/>
  <c r="P278" i="39"/>
  <c r="Q278" i="39" s="1"/>
  <c r="R278" i="39" s="1"/>
  <c r="H278" i="39"/>
  <c r="I278" i="39" s="1"/>
  <c r="J278" i="39" s="1"/>
  <c r="T307" i="39"/>
  <c r="U307" i="39" s="1"/>
  <c r="V307" i="39" s="1"/>
  <c r="X307" i="39"/>
  <c r="Y307" i="39" s="1"/>
  <c r="Z307" i="39" s="1"/>
  <c r="L307" i="39"/>
  <c r="M307" i="39" s="1"/>
  <c r="N307" i="39" s="1"/>
  <c r="P307" i="39"/>
  <c r="Q307" i="39" s="1"/>
  <c r="R307" i="39" s="1"/>
  <c r="H307" i="39"/>
  <c r="I307" i="39" s="1"/>
  <c r="J307" i="39" s="1"/>
  <c r="T259" i="39"/>
  <c r="U259" i="39" s="1"/>
  <c r="V259" i="39" s="1"/>
  <c r="P259" i="39"/>
  <c r="Q259" i="39" s="1"/>
  <c r="R259" i="39" s="1"/>
  <c r="X259" i="39"/>
  <c r="Y259" i="39" s="1"/>
  <c r="Z259" i="39" s="1"/>
  <c r="L259" i="39"/>
  <c r="M259" i="39" s="1"/>
  <c r="N259" i="39" s="1"/>
  <c r="H259" i="39"/>
  <c r="I259" i="39" s="1"/>
  <c r="J259" i="39" s="1"/>
  <c r="X296" i="39"/>
  <c r="Y296" i="39" s="1"/>
  <c r="Z296" i="39" s="1"/>
  <c r="T296" i="39"/>
  <c r="U296" i="39" s="1"/>
  <c r="V296" i="39" s="1"/>
  <c r="P296" i="39"/>
  <c r="Q296" i="39" s="1"/>
  <c r="R296" i="39" s="1"/>
  <c r="H296" i="39"/>
  <c r="I296" i="39" s="1"/>
  <c r="J296" i="39" s="1"/>
  <c r="L296" i="39"/>
  <c r="M296" i="39" s="1"/>
  <c r="N296" i="39" s="1"/>
  <c r="X330" i="39"/>
  <c r="Y330" i="39" s="1"/>
  <c r="Z330" i="39" s="1"/>
  <c r="T330" i="39"/>
  <c r="U330" i="39" s="1"/>
  <c r="V330" i="39" s="1"/>
  <c r="L330" i="39"/>
  <c r="M330" i="39" s="1"/>
  <c r="N330" i="39" s="1"/>
  <c r="H330" i="39"/>
  <c r="I330" i="39" s="1"/>
  <c r="J330" i="39" s="1"/>
  <c r="P330" i="39"/>
  <c r="Q330" i="39" s="1"/>
  <c r="R330" i="39" s="1"/>
  <c r="X268" i="39"/>
  <c r="Y268" i="39" s="1"/>
  <c r="Z268" i="39" s="1"/>
  <c r="T268" i="39"/>
  <c r="U268" i="39" s="1"/>
  <c r="V268" i="39" s="1"/>
  <c r="P268" i="39"/>
  <c r="Q268" i="39" s="1"/>
  <c r="R268" i="39" s="1"/>
  <c r="H268" i="39"/>
  <c r="I268" i="39" s="1"/>
  <c r="J268" i="39" s="1"/>
  <c r="L268" i="39"/>
  <c r="M268" i="39" s="1"/>
  <c r="N268" i="39" s="1"/>
  <c r="X236" i="39"/>
  <c r="Y236" i="39" s="1"/>
  <c r="Z236" i="39" s="1"/>
  <c r="T236" i="39"/>
  <c r="U236" i="39" s="1"/>
  <c r="V236" i="39" s="1"/>
  <c r="P236" i="39"/>
  <c r="Q236" i="39" s="1"/>
  <c r="R236" i="39" s="1"/>
  <c r="H236" i="39"/>
  <c r="I236" i="39" s="1"/>
  <c r="J236" i="39" s="1"/>
  <c r="L236" i="39"/>
  <c r="M236" i="39" s="1"/>
  <c r="N236" i="39" s="1"/>
  <c r="X309" i="39"/>
  <c r="Y309" i="39" s="1"/>
  <c r="Z309" i="39" s="1"/>
  <c r="T309" i="39"/>
  <c r="U309" i="39" s="1"/>
  <c r="V309" i="39" s="1"/>
  <c r="L309" i="39"/>
  <c r="M309" i="39" s="1"/>
  <c r="N309" i="39" s="1"/>
  <c r="P309" i="39"/>
  <c r="Q309" i="39" s="1"/>
  <c r="R309" i="39" s="1"/>
  <c r="H309" i="39"/>
  <c r="I309" i="39" s="1"/>
  <c r="J309" i="39" s="1"/>
  <c r="X260" i="39"/>
  <c r="Y260" i="39" s="1"/>
  <c r="Z260" i="39" s="1"/>
  <c r="T260" i="39"/>
  <c r="U260" i="39" s="1"/>
  <c r="V260" i="39" s="1"/>
  <c r="P260" i="39"/>
  <c r="Q260" i="39" s="1"/>
  <c r="R260" i="39" s="1"/>
  <c r="H260" i="39"/>
  <c r="I260" i="39" s="1"/>
  <c r="J260" i="39" s="1"/>
  <c r="L260" i="39"/>
  <c r="M260" i="39" s="1"/>
  <c r="N260" i="39" s="1"/>
  <c r="X346" i="39"/>
  <c r="Y346" i="39" s="1"/>
  <c r="Z346" i="39" s="1"/>
  <c r="T346" i="39"/>
  <c r="U346" i="39" s="1"/>
  <c r="V346" i="39" s="1"/>
  <c r="L346" i="39"/>
  <c r="M346" i="39" s="1"/>
  <c r="N346" i="39" s="1"/>
  <c r="P346" i="39"/>
  <c r="Q346" i="39" s="1"/>
  <c r="R346" i="39" s="1"/>
  <c r="H346" i="39"/>
  <c r="I346" i="39" s="1"/>
  <c r="J346" i="39" s="1"/>
  <c r="T335" i="39"/>
  <c r="U335" i="39" s="1"/>
  <c r="V335" i="39" s="1"/>
  <c r="X335" i="39"/>
  <c r="Y335" i="39" s="1"/>
  <c r="Z335" i="39" s="1"/>
  <c r="P335" i="39"/>
  <c r="Q335" i="39" s="1"/>
  <c r="R335" i="39" s="1"/>
  <c r="H335" i="39"/>
  <c r="I335" i="39" s="1"/>
  <c r="J335" i="39" s="1"/>
  <c r="L335" i="39"/>
  <c r="M335" i="39" s="1"/>
  <c r="N335" i="39" s="1"/>
  <c r="T243" i="39"/>
  <c r="U243" i="39" s="1"/>
  <c r="V243" i="39" s="1"/>
  <c r="P243" i="39"/>
  <c r="Q243" i="39" s="1"/>
  <c r="R243" i="39" s="1"/>
  <c r="X243" i="39"/>
  <c r="Y243" i="39" s="1"/>
  <c r="Z243" i="39" s="1"/>
  <c r="L243" i="39"/>
  <c r="M243" i="39" s="1"/>
  <c r="N243" i="39" s="1"/>
  <c r="H243" i="39"/>
  <c r="I243" i="39" s="1"/>
  <c r="J243" i="39" s="1"/>
  <c r="X337" i="39"/>
  <c r="Y337" i="39" s="1"/>
  <c r="Z337" i="39" s="1"/>
  <c r="T337" i="39"/>
  <c r="U337" i="39" s="1"/>
  <c r="V337" i="39" s="1"/>
  <c r="L337" i="39"/>
  <c r="M337" i="39" s="1"/>
  <c r="N337" i="39" s="1"/>
  <c r="P337" i="39"/>
  <c r="Q337" i="39" s="1"/>
  <c r="R337" i="39" s="1"/>
  <c r="H337" i="39"/>
  <c r="I337" i="39" s="1"/>
  <c r="J337" i="39" s="1"/>
  <c r="X261" i="39"/>
  <c r="Y261" i="39" s="1"/>
  <c r="Z261" i="39" s="1"/>
  <c r="T261" i="39"/>
  <c r="U261" i="39" s="1"/>
  <c r="V261" i="39" s="1"/>
  <c r="P261" i="39"/>
  <c r="Q261" i="39" s="1"/>
  <c r="R261" i="39" s="1"/>
  <c r="L261" i="39"/>
  <c r="M261" i="39" s="1"/>
  <c r="N261" i="39" s="1"/>
  <c r="H261" i="39"/>
  <c r="I261" i="39" s="1"/>
  <c r="J261" i="39" s="1"/>
  <c r="X306" i="39"/>
  <c r="Y306" i="39" s="1"/>
  <c r="Z306" i="39" s="1"/>
  <c r="T306" i="39"/>
  <c r="U306" i="39" s="1"/>
  <c r="V306" i="39" s="1"/>
  <c r="L306" i="39"/>
  <c r="M306" i="39" s="1"/>
  <c r="N306" i="39" s="1"/>
  <c r="P306" i="39"/>
  <c r="Q306" i="39" s="1"/>
  <c r="R306" i="39" s="1"/>
  <c r="H306" i="39"/>
  <c r="I306" i="39" s="1"/>
  <c r="J306" i="39" s="1"/>
  <c r="T339" i="39"/>
  <c r="U339" i="39" s="1"/>
  <c r="V339" i="39" s="1"/>
  <c r="X339" i="39"/>
  <c r="Y339" i="39" s="1"/>
  <c r="Z339" i="39" s="1"/>
  <c r="L339" i="39"/>
  <c r="M339" i="39" s="1"/>
  <c r="N339" i="39" s="1"/>
  <c r="H339" i="39"/>
  <c r="I339" i="39" s="1"/>
  <c r="J339" i="39" s="1"/>
  <c r="P339" i="39"/>
  <c r="Q339" i="39" s="1"/>
  <c r="R339" i="39" s="1"/>
  <c r="T247" i="39"/>
  <c r="U247" i="39" s="1"/>
  <c r="V247" i="39" s="1"/>
  <c r="P247" i="39"/>
  <c r="Q247" i="39" s="1"/>
  <c r="R247" i="39" s="1"/>
  <c r="X247" i="39"/>
  <c r="Y247" i="39" s="1"/>
  <c r="Z247" i="39" s="1"/>
  <c r="H247" i="39"/>
  <c r="I247" i="39" s="1"/>
  <c r="J247" i="39" s="1"/>
  <c r="L247" i="39"/>
  <c r="M247" i="39" s="1"/>
  <c r="N247" i="39" s="1"/>
  <c r="T355" i="39"/>
  <c r="U355" i="39" s="1"/>
  <c r="V355" i="39" s="1"/>
  <c r="X355" i="39"/>
  <c r="Y355" i="39" s="1"/>
  <c r="Z355" i="39" s="1"/>
  <c r="L355" i="39"/>
  <c r="M355" i="39" s="1"/>
  <c r="N355" i="39" s="1"/>
  <c r="H355" i="39"/>
  <c r="I355" i="39" s="1"/>
  <c r="J355" i="39" s="1"/>
  <c r="P355" i="39"/>
  <c r="Q355" i="39" s="1"/>
  <c r="R355" i="39" s="1"/>
  <c r="X292" i="39"/>
  <c r="Y292" i="39" s="1"/>
  <c r="Z292" i="39" s="1"/>
  <c r="T292" i="39"/>
  <c r="U292" i="39" s="1"/>
  <c r="V292" i="39" s="1"/>
  <c r="P292" i="39"/>
  <c r="Q292" i="39" s="1"/>
  <c r="R292" i="39" s="1"/>
  <c r="H292" i="39"/>
  <c r="I292" i="39" s="1"/>
  <c r="J292" i="39" s="1"/>
  <c r="L292" i="39"/>
  <c r="M292" i="39" s="1"/>
  <c r="N292" i="39" s="1"/>
  <c r="P234" i="39"/>
  <c r="Q234" i="39" s="1"/>
  <c r="R234" i="39" s="1"/>
  <c r="X234" i="39"/>
  <c r="Y234" i="39" s="1"/>
  <c r="Z234" i="39" s="1"/>
  <c r="T234" i="39"/>
  <c r="U234" i="39" s="1"/>
  <c r="V234" i="39" s="1"/>
  <c r="L234" i="39"/>
  <c r="M234" i="39" s="1"/>
  <c r="N234" i="39" s="1"/>
  <c r="H234" i="39"/>
  <c r="I234" i="39" s="1"/>
  <c r="J234" i="39" s="1"/>
  <c r="X313" i="39"/>
  <c r="Y313" i="39" s="1"/>
  <c r="Z313" i="39" s="1"/>
  <c r="T313" i="39"/>
  <c r="U313" i="39" s="1"/>
  <c r="V313" i="39" s="1"/>
  <c r="L313" i="39"/>
  <c r="M313" i="39" s="1"/>
  <c r="N313" i="39" s="1"/>
  <c r="P313" i="39"/>
  <c r="Q313" i="39" s="1"/>
  <c r="R313" i="39" s="1"/>
  <c r="H313" i="39"/>
  <c r="I313" i="39" s="1"/>
  <c r="J313" i="39" s="1"/>
  <c r="X344" i="39"/>
  <c r="Y344" i="39" s="1"/>
  <c r="Z344" i="39" s="1"/>
  <c r="T344" i="39"/>
  <c r="U344" i="39" s="1"/>
  <c r="V344" i="39" s="1"/>
  <c r="P344" i="39"/>
  <c r="Q344" i="39" s="1"/>
  <c r="R344" i="39" s="1"/>
  <c r="L344" i="39"/>
  <c r="M344" i="39" s="1"/>
  <c r="N344" i="39" s="1"/>
  <c r="H344" i="39"/>
  <c r="I344" i="39" s="1"/>
  <c r="J344" i="39" s="1"/>
  <c r="T299" i="39"/>
  <c r="U299" i="39" s="1"/>
  <c r="V299" i="39" s="1"/>
  <c r="X299" i="39"/>
  <c r="Y299" i="39" s="1"/>
  <c r="Z299" i="39" s="1"/>
  <c r="L299" i="39"/>
  <c r="M299" i="39" s="1"/>
  <c r="N299" i="39" s="1"/>
  <c r="P299" i="39"/>
  <c r="Q299" i="39" s="1"/>
  <c r="R299" i="39" s="1"/>
  <c r="H299" i="39"/>
  <c r="I299" i="39" s="1"/>
  <c r="J299" i="39" s="1"/>
  <c r="X284" i="39"/>
  <c r="Y284" i="39" s="1"/>
  <c r="Z284" i="39" s="1"/>
  <c r="T284" i="39"/>
  <c r="U284" i="39" s="1"/>
  <c r="V284" i="39" s="1"/>
  <c r="P284" i="39"/>
  <c r="Q284" i="39" s="1"/>
  <c r="R284" i="39" s="1"/>
  <c r="H284" i="39"/>
  <c r="I284" i="39" s="1"/>
  <c r="J284" i="39" s="1"/>
  <c r="L284" i="39"/>
  <c r="M284" i="39" s="1"/>
  <c r="N284" i="39" s="1"/>
  <c r="X353" i="39"/>
  <c r="Y353" i="39" s="1"/>
  <c r="Z353" i="39" s="1"/>
  <c r="T353" i="39"/>
  <c r="U353" i="39" s="1"/>
  <c r="V353" i="39" s="1"/>
  <c r="L353" i="39"/>
  <c r="M353" i="39" s="1"/>
  <c r="N353" i="39" s="1"/>
  <c r="P353" i="39"/>
  <c r="Q353" i="39" s="1"/>
  <c r="R353" i="39" s="1"/>
  <c r="H353" i="39"/>
  <c r="I353" i="39" s="1"/>
  <c r="J353" i="39" s="1"/>
  <c r="X273" i="39"/>
  <c r="Y273" i="39" s="1"/>
  <c r="Z273" i="39" s="1"/>
  <c r="T273" i="39"/>
  <c r="U273" i="39" s="1"/>
  <c r="V273" i="39" s="1"/>
  <c r="L273" i="39"/>
  <c r="M273" i="39" s="1"/>
  <c r="N273" i="39" s="1"/>
  <c r="P273" i="39"/>
  <c r="Q273" i="39" s="1"/>
  <c r="R273" i="39" s="1"/>
  <c r="H273" i="39"/>
  <c r="I273" i="39" s="1"/>
  <c r="J273" i="39" s="1"/>
  <c r="X245" i="39"/>
  <c r="Y245" i="39" s="1"/>
  <c r="Z245" i="39" s="1"/>
  <c r="T245" i="39"/>
  <c r="U245" i="39" s="1"/>
  <c r="V245" i="39" s="1"/>
  <c r="P245" i="39"/>
  <c r="Q245" i="39" s="1"/>
  <c r="R245" i="39" s="1"/>
  <c r="L245" i="39"/>
  <c r="M245" i="39" s="1"/>
  <c r="N245" i="39" s="1"/>
  <c r="H245" i="39"/>
  <c r="I245" i="39" s="1"/>
  <c r="J245" i="39" s="1"/>
  <c r="X317" i="39"/>
  <c r="T317" i="39"/>
  <c r="U317" i="39" s="1"/>
  <c r="V317" i="39" s="1"/>
  <c r="L317" i="39"/>
  <c r="M317" i="39" s="1"/>
  <c r="N317" i="39" s="1"/>
  <c r="P317" i="39"/>
  <c r="Q317" i="39" s="1"/>
  <c r="R317" i="39" s="1"/>
  <c r="H317" i="39"/>
  <c r="I317" i="39" s="1"/>
  <c r="J317" i="39" s="1"/>
  <c r="T283" i="39"/>
  <c r="U283" i="39" s="1"/>
  <c r="V283" i="39" s="1"/>
  <c r="X283" i="39"/>
  <c r="Y283" i="39" s="1"/>
  <c r="Z283" i="39" s="1"/>
  <c r="L283" i="39"/>
  <c r="M283" i="39" s="1"/>
  <c r="N283" i="39" s="1"/>
  <c r="P283" i="39"/>
  <c r="Q283" i="39" s="1"/>
  <c r="R283" i="39" s="1"/>
  <c r="H283" i="39"/>
  <c r="I283" i="39" s="1"/>
  <c r="J283" i="39" s="1"/>
  <c r="X345" i="39"/>
  <c r="Y345" i="39" s="1"/>
  <c r="Z345" i="39" s="1"/>
  <c r="T345" i="39"/>
  <c r="U345" i="39" s="1"/>
  <c r="V345" i="39" s="1"/>
  <c r="L345" i="39"/>
  <c r="M345" i="39" s="1"/>
  <c r="N345" i="39" s="1"/>
  <c r="P345" i="39"/>
  <c r="Q345" i="39" s="1"/>
  <c r="R345" i="39" s="1"/>
  <c r="H345" i="39"/>
  <c r="I345" i="39" s="1"/>
  <c r="J345" i="39" s="1"/>
  <c r="X221" i="39"/>
  <c r="Y221" i="39" s="1"/>
  <c r="Z221" i="39" s="1"/>
  <c r="T221" i="39"/>
  <c r="U221" i="39" s="1"/>
  <c r="V221" i="39" s="1"/>
  <c r="P221" i="39"/>
  <c r="Q221" i="39" s="1"/>
  <c r="R221" i="39" s="1"/>
  <c r="L221" i="39"/>
  <c r="M221" i="39" s="1"/>
  <c r="N221" i="39" s="1"/>
  <c r="H221" i="39"/>
  <c r="I221" i="39" s="1"/>
  <c r="J221" i="39" s="1"/>
  <c r="X329" i="39"/>
  <c r="Y329" i="39" s="1"/>
  <c r="Z329" i="39" s="1"/>
  <c r="T329" i="39"/>
  <c r="U329" i="39" s="1"/>
  <c r="V329" i="39" s="1"/>
  <c r="L329" i="39"/>
  <c r="M329" i="39" s="1"/>
  <c r="N329" i="39" s="1"/>
  <c r="P329" i="39"/>
  <c r="Q329" i="39" s="1"/>
  <c r="R329" i="39" s="1"/>
  <c r="H329" i="39"/>
  <c r="I329" i="39" s="1"/>
  <c r="J329" i="39" s="1"/>
  <c r="X232" i="39"/>
  <c r="Y232" i="39" s="1"/>
  <c r="Z232" i="39" s="1"/>
  <c r="T232" i="39"/>
  <c r="U232" i="39" s="1"/>
  <c r="V232" i="39" s="1"/>
  <c r="P232" i="39"/>
  <c r="Q232" i="39" s="1"/>
  <c r="R232" i="39" s="1"/>
  <c r="H232" i="39"/>
  <c r="I232" i="39" s="1"/>
  <c r="J232" i="39" s="1"/>
  <c r="L232" i="39"/>
  <c r="M232" i="39" s="1"/>
  <c r="N232" i="39" s="1"/>
  <c r="X253" i="39"/>
  <c r="Y253" i="39" s="1"/>
  <c r="Z253" i="39" s="1"/>
  <c r="T253" i="39"/>
  <c r="U253" i="39" s="1"/>
  <c r="V253" i="39" s="1"/>
  <c r="P253" i="39"/>
  <c r="Q253" i="39" s="1"/>
  <c r="R253" i="39" s="1"/>
  <c r="L253" i="39"/>
  <c r="M253" i="39" s="1"/>
  <c r="N253" i="39" s="1"/>
  <c r="H253" i="39"/>
  <c r="I253" i="39" s="1"/>
  <c r="J253" i="39" s="1"/>
  <c r="T319" i="39"/>
  <c r="U319" i="39" s="1"/>
  <c r="V319" i="39" s="1"/>
  <c r="X319" i="39"/>
  <c r="Y319" i="39" s="1"/>
  <c r="Z319" i="39" s="1"/>
  <c r="L319" i="39"/>
  <c r="M319" i="39" s="1"/>
  <c r="N319" i="39" s="1"/>
  <c r="P319" i="39"/>
  <c r="Q319" i="39" s="1"/>
  <c r="R319" i="39" s="1"/>
  <c r="H319" i="39"/>
  <c r="I319" i="39" s="1"/>
  <c r="J319" i="39" s="1"/>
  <c r="X225" i="39"/>
  <c r="Y225" i="39" s="1"/>
  <c r="Z225" i="39" s="1"/>
  <c r="T225" i="39"/>
  <c r="U225" i="39" s="1"/>
  <c r="V225" i="39" s="1"/>
  <c r="P225" i="39"/>
  <c r="Q225" i="39" s="1"/>
  <c r="R225" i="39" s="1"/>
  <c r="L225" i="39"/>
  <c r="M225" i="39" s="1"/>
  <c r="N225" i="39" s="1"/>
  <c r="H225" i="39"/>
  <c r="I225" i="39" s="1"/>
  <c r="J225" i="39" s="1"/>
  <c r="X281" i="39"/>
  <c r="Y281" i="39" s="1"/>
  <c r="Z281" i="39" s="1"/>
  <c r="T281" i="39"/>
  <c r="U281" i="39" s="1"/>
  <c r="V281" i="39" s="1"/>
  <c r="L281" i="39"/>
  <c r="M281" i="39" s="1"/>
  <c r="N281" i="39" s="1"/>
  <c r="P281" i="39"/>
  <c r="Q281" i="39" s="1"/>
  <c r="R281" i="39" s="1"/>
  <c r="H281" i="39"/>
  <c r="I281" i="39" s="1"/>
  <c r="J281" i="39" s="1"/>
  <c r="T347" i="39"/>
  <c r="U347" i="39" s="1"/>
  <c r="V347" i="39" s="1"/>
  <c r="X347" i="39"/>
  <c r="Y347" i="39" s="1"/>
  <c r="Z347" i="39" s="1"/>
  <c r="H347" i="39"/>
  <c r="I347" i="39" s="1"/>
  <c r="J347" i="39" s="1"/>
  <c r="L347" i="39"/>
  <c r="M347" i="39" s="1"/>
  <c r="N347" i="39" s="1"/>
  <c r="P347" i="39"/>
  <c r="Q347" i="39" s="1"/>
  <c r="R347" i="39" s="1"/>
  <c r="X256" i="39"/>
  <c r="Y256" i="39" s="1"/>
  <c r="Z256" i="39" s="1"/>
  <c r="T256" i="39"/>
  <c r="U256" i="39" s="1"/>
  <c r="V256" i="39" s="1"/>
  <c r="P256" i="39"/>
  <c r="Q256" i="39" s="1"/>
  <c r="R256" i="39" s="1"/>
  <c r="H256" i="39"/>
  <c r="I256" i="39" s="1"/>
  <c r="J256" i="39" s="1"/>
  <c r="L256" i="39"/>
  <c r="M256" i="39" s="1"/>
  <c r="N256" i="39" s="1"/>
  <c r="X270" i="39"/>
  <c r="Y270" i="39" s="1"/>
  <c r="Z270" i="39" s="1"/>
  <c r="T270" i="39"/>
  <c r="U270" i="39" s="1"/>
  <c r="V270" i="39" s="1"/>
  <c r="L270" i="39"/>
  <c r="M270" i="39" s="1"/>
  <c r="N270" i="39" s="1"/>
  <c r="P270" i="39"/>
  <c r="Q270" i="39" s="1"/>
  <c r="R270" i="39" s="1"/>
  <c r="H270" i="39"/>
  <c r="I270" i="39" s="1"/>
  <c r="J270" i="39" s="1"/>
  <c r="T295" i="39"/>
  <c r="U295" i="39" s="1"/>
  <c r="V295" i="39" s="1"/>
  <c r="X295" i="39"/>
  <c r="Y295" i="39" s="1"/>
  <c r="Z295" i="39" s="1"/>
  <c r="P295" i="39"/>
  <c r="Q295" i="39" s="1"/>
  <c r="R295" i="39" s="1"/>
  <c r="L295" i="39"/>
  <c r="M295" i="39" s="1"/>
  <c r="N295" i="39" s="1"/>
  <c r="H295" i="39"/>
  <c r="I295" i="39" s="1"/>
  <c r="J295" i="39" s="1"/>
  <c r="P222" i="39"/>
  <c r="Q222" i="39" s="1"/>
  <c r="R222" i="39" s="1"/>
  <c r="X222" i="39"/>
  <c r="Y222" i="39" s="1"/>
  <c r="Z222" i="39" s="1"/>
  <c r="T222" i="39"/>
  <c r="U222" i="39" s="1"/>
  <c r="V222" i="39" s="1"/>
  <c r="L222" i="39"/>
  <c r="M222" i="39" s="1"/>
  <c r="N222" i="39" s="1"/>
  <c r="H222" i="39"/>
  <c r="I222" i="39" s="1"/>
  <c r="J222" i="39" s="1"/>
  <c r="X348" i="39"/>
  <c r="Y348" i="39" s="1"/>
  <c r="Z348" i="39" s="1"/>
  <c r="T348" i="39"/>
  <c r="U348" i="39" s="1"/>
  <c r="V348" i="39" s="1"/>
  <c r="P348" i="39"/>
  <c r="Q348" i="39" s="1"/>
  <c r="R348" i="39" s="1"/>
  <c r="H348" i="39"/>
  <c r="I348" i="39" s="1"/>
  <c r="J348" i="39" s="1"/>
  <c r="L348" i="39"/>
  <c r="M348" i="39" s="1"/>
  <c r="N348" i="39" s="1"/>
  <c r="X350" i="39"/>
  <c r="Y350" i="39" s="1"/>
  <c r="Z350" i="39" s="1"/>
  <c r="T350" i="39"/>
  <c r="U350" i="39" s="1"/>
  <c r="V350" i="39" s="1"/>
  <c r="L350" i="39"/>
  <c r="M350" i="39" s="1"/>
  <c r="N350" i="39" s="1"/>
  <c r="P350" i="39"/>
  <c r="Q350" i="39" s="1"/>
  <c r="R350" i="39" s="1"/>
  <c r="H350" i="39"/>
  <c r="I350" i="39" s="1"/>
  <c r="J350" i="39" s="1"/>
  <c r="X258" i="39"/>
  <c r="Y258" i="39" s="1"/>
  <c r="Z258" i="39" s="1"/>
  <c r="T258" i="39"/>
  <c r="U258" i="39" s="1"/>
  <c r="V258" i="39" s="1"/>
  <c r="P258" i="39"/>
  <c r="Q258" i="39" s="1"/>
  <c r="R258" i="39" s="1"/>
  <c r="L258" i="39"/>
  <c r="M258" i="39" s="1"/>
  <c r="N258" i="39" s="1"/>
  <c r="H258" i="39"/>
  <c r="I258" i="39" s="1"/>
  <c r="J258" i="39" s="1"/>
  <c r="X241" i="39"/>
  <c r="Y241" i="39" s="1"/>
  <c r="Z241" i="39" s="1"/>
  <c r="T241" i="39"/>
  <c r="U241" i="39" s="1"/>
  <c r="V241" i="39" s="1"/>
  <c r="P241" i="39"/>
  <c r="Q241" i="39" s="1"/>
  <c r="R241" i="39" s="1"/>
  <c r="L241" i="39"/>
  <c r="M241" i="39" s="1"/>
  <c r="N241" i="39" s="1"/>
  <c r="H241" i="39"/>
  <c r="I241" i="39" s="1"/>
  <c r="J241" i="39" s="1"/>
  <c r="X349" i="39"/>
  <c r="Y349" i="39" s="1"/>
  <c r="Z349" i="39" s="1"/>
  <c r="T349" i="39"/>
  <c r="U349" i="39" s="1"/>
  <c r="V349" i="39" s="1"/>
  <c r="L349" i="39"/>
  <c r="M349" i="39" s="1"/>
  <c r="N349" i="39" s="1"/>
  <c r="P349" i="39"/>
  <c r="Q349" i="39" s="1"/>
  <c r="R349" i="39" s="1"/>
  <c r="H349" i="39"/>
  <c r="I349" i="39" s="1"/>
  <c r="J349" i="39" s="1"/>
  <c r="T263" i="39"/>
  <c r="U263" i="39" s="1"/>
  <c r="V263" i="39" s="1"/>
  <c r="X263" i="39"/>
  <c r="Y263" i="39" s="1"/>
  <c r="Z263" i="39" s="1"/>
  <c r="P263" i="39"/>
  <c r="Q263" i="39" s="1"/>
  <c r="R263" i="39" s="1"/>
  <c r="H263" i="39"/>
  <c r="I263" i="39" s="1"/>
  <c r="J263" i="39" s="1"/>
  <c r="L263" i="39"/>
  <c r="M263" i="39" s="1"/>
  <c r="N263" i="39" s="1"/>
  <c r="T215" i="39"/>
  <c r="U215" i="39" s="1"/>
  <c r="V215" i="39" s="1"/>
  <c r="P215" i="39"/>
  <c r="Q215" i="39" s="1"/>
  <c r="R215" i="39" s="1"/>
  <c r="X215" i="39"/>
  <c r="Y215" i="39" s="1"/>
  <c r="Z215" i="39" s="1"/>
  <c r="L215" i="39"/>
  <c r="M215" i="39" s="1"/>
  <c r="N215" i="39" s="1"/>
  <c r="H215" i="39"/>
  <c r="I215" i="39" s="1"/>
  <c r="J215" i="39" s="1"/>
  <c r="X333" i="39"/>
  <c r="Y333" i="39" s="1"/>
  <c r="Z333" i="39" s="1"/>
  <c r="T333" i="39"/>
  <c r="U333" i="39" s="1"/>
  <c r="V333" i="39" s="1"/>
  <c r="L333" i="39"/>
  <c r="M333" i="39" s="1"/>
  <c r="N333" i="39" s="1"/>
  <c r="P333" i="39"/>
  <c r="Q333" i="39" s="1"/>
  <c r="R333" i="39" s="1"/>
  <c r="H333" i="39"/>
  <c r="I333" i="39" s="1"/>
  <c r="J333" i="39" s="1"/>
  <c r="X310" i="39"/>
  <c r="Y310" i="39" s="1"/>
  <c r="Z310" i="39" s="1"/>
  <c r="T310" i="39"/>
  <c r="U310" i="39" s="1"/>
  <c r="V310" i="39" s="1"/>
  <c r="L310" i="39"/>
  <c r="M310" i="39" s="1"/>
  <c r="N310" i="39" s="1"/>
  <c r="H310" i="39"/>
  <c r="I310" i="39" s="1"/>
  <c r="J310" i="39" s="1"/>
  <c r="P310" i="39"/>
  <c r="Q310" i="39" s="1"/>
  <c r="R310" i="39" s="1"/>
  <c r="T279" i="39"/>
  <c r="U279" i="39" s="1"/>
  <c r="V279" i="39" s="1"/>
  <c r="X279" i="39"/>
  <c r="Y279" i="39" s="1"/>
  <c r="Z279" i="39" s="1"/>
  <c r="P279" i="39"/>
  <c r="Q279" i="39" s="1"/>
  <c r="R279" i="39" s="1"/>
  <c r="H279" i="39"/>
  <c r="I279" i="39" s="1"/>
  <c r="J279" i="39" s="1"/>
  <c r="L279" i="39"/>
  <c r="M279" i="39" s="1"/>
  <c r="N279" i="39" s="1"/>
  <c r="X300" i="39"/>
  <c r="Y300" i="39" s="1"/>
  <c r="Z300" i="39" s="1"/>
  <c r="T300" i="39"/>
  <c r="U300" i="39" s="1"/>
  <c r="V300" i="39" s="1"/>
  <c r="P300" i="39"/>
  <c r="Q300" i="39" s="1"/>
  <c r="R300" i="39" s="1"/>
  <c r="H300" i="39"/>
  <c r="I300" i="39" s="1"/>
  <c r="J300" i="39" s="1"/>
  <c r="L300" i="39"/>
  <c r="M300" i="39" s="1"/>
  <c r="N300" i="39" s="1"/>
  <c r="X352" i="39"/>
  <c r="Y352" i="39" s="1"/>
  <c r="Z352" i="39" s="1"/>
  <c r="T352" i="39"/>
  <c r="U352" i="39" s="1"/>
  <c r="V352" i="39" s="1"/>
  <c r="P352" i="39"/>
  <c r="Q352" i="39" s="1"/>
  <c r="R352" i="39" s="1"/>
  <c r="L352" i="39"/>
  <c r="M352" i="39" s="1"/>
  <c r="N352" i="39" s="1"/>
  <c r="H352" i="39"/>
  <c r="I352" i="39" s="1"/>
  <c r="J352" i="39" s="1"/>
  <c r="X265" i="39"/>
  <c r="Y265" i="39" s="1"/>
  <c r="Z265" i="39" s="1"/>
  <c r="T265" i="39"/>
  <c r="U265" i="39" s="1"/>
  <c r="V265" i="39" s="1"/>
  <c r="L265" i="39"/>
  <c r="M265" i="39" s="1"/>
  <c r="N265" i="39" s="1"/>
  <c r="P265" i="39"/>
  <c r="Q265" i="39" s="1"/>
  <c r="R265" i="39" s="1"/>
  <c r="H265" i="39"/>
  <c r="I265" i="39" s="1"/>
  <c r="J265" i="39" s="1"/>
  <c r="X280" i="39"/>
  <c r="Y280" i="39" s="1"/>
  <c r="Z280" i="39" s="1"/>
  <c r="T280" i="39"/>
  <c r="U280" i="39" s="1"/>
  <c r="V280" i="39" s="1"/>
  <c r="P280" i="39"/>
  <c r="Q280" i="39" s="1"/>
  <c r="R280" i="39" s="1"/>
  <c r="H280" i="39"/>
  <c r="I280" i="39" s="1"/>
  <c r="J280" i="39" s="1"/>
  <c r="L280" i="39"/>
  <c r="M280" i="39" s="1"/>
  <c r="N280" i="39" s="1"/>
  <c r="T327" i="39"/>
  <c r="U327" i="39" s="1"/>
  <c r="V327" i="39" s="1"/>
  <c r="X327" i="39"/>
  <c r="Y327" i="39" s="1"/>
  <c r="Z327" i="39" s="1"/>
  <c r="P327" i="39"/>
  <c r="Q327" i="39" s="1"/>
  <c r="R327" i="39" s="1"/>
  <c r="H327" i="39"/>
  <c r="I327" i="39" s="1"/>
  <c r="J327" i="39" s="1"/>
  <c r="L327" i="39"/>
  <c r="M327" i="39" s="1"/>
  <c r="N327" i="39" s="1"/>
  <c r="T227" i="39"/>
  <c r="U227" i="39" s="1"/>
  <c r="V227" i="39" s="1"/>
  <c r="P227" i="39"/>
  <c r="Q227" i="39" s="1"/>
  <c r="R227" i="39" s="1"/>
  <c r="X227" i="39"/>
  <c r="Y227" i="39" s="1"/>
  <c r="Z227" i="39" s="1"/>
  <c r="L227" i="39"/>
  <c r="M227" i="39" s="1"/>
  <c r="N227" i="39" s="1"/>
  <c r="H227" i="39"/>
  <c r="I227" i="39" s="1"/>
  <c r="J227" i="39" s="1"/>
  <c r="T291" i="39"/>
  <c r="U291" i="39" s="1"/>
  <c r="V291" i="39" s="1"/>
  <c r="X291" i="39"/>
  <c r="Y291" i="39" s="1"/>
  <c r="Z291" i="39" s="1"/>
  <c r="L291" i="39"/>
  <c r="M291" i="39" s="1"/>
  <c r="N291" i="39" s="1"/>
  <c r="P291" i="39"/>
  <c r="Q291" i="39" s="1"/>
  <c r="R291" i="39" s="1"/>
  <c r="H291" i="39"/>
  <c r="I291" i="39" s="1"/>
  <c r="J291" i="39" s="1"/>
  <c r="T303" i="39"/>
  <c r="U303" i="39" s="1"/>
  <c r="V303" i="39" s="1"/>
  <c r="X303" i="39"/>
  <c r="Y303" i="39" s="1"/>
  <c r="Z303" i="39" s="1"/>
  <c r="P303" i="39"/>
  <c r="Q303" i="39" s="1"/>
  <c r="R303" i="39" s="1"/>
  <c r="H303" i="39"/>
  <c r="I303" i="39" s="1"/>
  <c r="J303" i="39" s="1"/>
  <c r="L303" i="39"/>
  <c r="M303" i="39" s="1"/>
  <c r="N303" i="39" s="1"/>
  <c r="X254" i="39"/>
  <c r="Y254" i="39" s="1"/>
  <c r="Z254" i="39" s="1"/>
  <c r="T254" i="39"/>
  <c r="U254" i="39" s="1"/>
  <c r="V254" i="39" s="1"/>
  <c r="P254" i="39"/>
  <c r="Q254" i="39" s="1"/>
  <c r="R254" i="39" s="1"/>
  <c r="L254" i="39"/>
  <c r="M254" i="39" s="1"/>
  <c r="N254" i="39" s="1"/>
  <c r="H254" i="39"/>
  <c r="I254" i="39" s="1"/>
  <c r="J254" i="39" s="1"/>
  <c r="X358" i="39"/>
  <c r="Y358" i="39" s="1"/>
  <c r="Z358" i="39" s="1"/>
  <c r="T358" i="39"/>
  <c r="U358" i="39" s="1"/>
  <c r="V358" i="39" s="1"/>
  <c r="L358" i="39"/>
  <c r="M358" i="39" s="1"/>
  <c r="N358" i="39" s="1"/>
  <c r="H358" i="39"/>
  <c r="I358" i="39" s="1"/>
  <c r="J358" i="39" s="1"/>
  <c r="P358" i="39"/>
  <c r="Q358" i="39" s="1"/>
  <c r="R358" i="39" s="1"/>
  <c r="X293" i="39"/>
  <c r="Y293" i="39" s="1"/>
  <c r="Z293" i="39" s="1"/>
  <c r="T293" i="39"/>
  <c r="U293" i="39" s="1"/>
  <c r="V293" i="39" s="1"/>
  <c r="L293" i="39"/>
  <c r="M293" i="39" s="1"/>
  <c r="N293" i="39" s="1"/>
  <c r="P293" i="39"/>
  <c r="Q293" i="39" s="1"/>
  <c r="R293" i="39" s="1"/>
  <c r="H293" i="39"/>
  <c r="I293" i="39" s="1"/>
  <c r="J293" i="39" s="1"/>
  <c r="X237" i="39"/>
  <c r="Y237" i="39" s="1"/>
  <c r="Z237" i="39" s="1"/>
  <c r="T237" i="39"/>
  <c r="U237" i="39" s="1"/>
  <c r="V237" i="39" s="1"/>
  <c r="P237" i="39"/>
  <c r="Q237" i="39" s="1"/>
  <c r="R237" i="39" s="1"/>
  <c r="L237" i="39"/>
  <c r="M237" i="39" s="1"/>
  <c r="N237" i="39" s="1"/>
  <c r="H237" i="39"/>
  <c r="I237" i="39" s="1"/>
  <c r="J237" i="39" s="1"/>
  <c r="T311" i="39"/>
  <c r="U311" i="39" s="1"/>
  <c r="V311" i="39" s="1"/>
  <c r="X311" i="39"/>
  <c r="Y311" i="39" s="1"/>
  <c r="Z311" i="39" s="1"/>
  <c r="P311" i="39"/>
  <c r="Q311" i="39" s="1"/>
  <c r="R311" i="39" s="1"/>
  <c r="H311" i="39"/>
  <c r="I311" i="39" s="1"/>
  <c r="J311" i="39" s="1"/>
  <c r="L311" i="39"/>
  <c r="M311" i="39" s="1"/>
  <c r="N311" i="39" s="1"/>
  <c r="X305" i="39"/>
  <c r="Y305" i="39" s="1"/>
  <c r="Z305" i="39" s="1"/>
  <c r="T305" i="39"/>
  <c r="U305" i="39" s="1"/>
  <c r="V305" i="39" s="1"/>
  <c r="L305" i="39"/>
  <c r="M305" i="39" s="1"/>
  <c r="N305" i="39" s="1"/>
  <c r="P305" i="39"/>
  <c r="Q305" i="39" s="1"/>
  <c r="R305" i="39" s="1"/>
  <c r="H305" i="39"/>
  <c r="I305" i="39" s="1"/>
  <c r="J305" i="39" s="1"/>
  <c r="T287" i="39"/>
  <c r="U287" i="39" s="1"/>
  <c r="V287" i="39" s="1"/>
  <c r="X287" i="39"/>
  <c r="Y287" i="39" s="1"/>
  <c r="Z287" i="39" s="1"/>
  <c r="P287" i="39"/>
  <c r="Q287" i="39" s="1"/>
  <c r="R287" i="39" s="1"/>
  <c r="H287" i="39"/>
  <c r="I287" i="39" s="1"/>
  <c r="J287" i="39" s="1"/>
  <c r="L287" i="39"/>
  <c r="M287" i="39" s="1"/>
  <c r="N287" i="39" s="1"/>
  <c r="X338" i="39"/>
  <c r="Y338" i="39" s="1"/>
  <c r="Z338" i="39" s="1"/>
  <c r="T338" i="39"/>
  <c r="U338" i="39" s="1"/>
  <c r="V338" i="39" s="1"/>
  <c r="L338" i="39"/>
  <c r="M338" i="39" s="1"/>
  <c r="N338" i="39" s="1"/>
  <c r="P338" i="39"/>
  <c r="Q338" i="39" s="1"/>
  <c r="R338" i="39" s="1"/>
  <c r="H338" i="39"/>
  <c r="I338" i="39" s="1"/>
  <c r="J338" i="39" s="1"/>
  <c r="X320" i="39"/>
  <c r="Y320" i="39" s="1"/>
  <c r="Z320" i="39" s="1"/>
  <c r="T320" i="39"/>
  <c r="U320" i="39" s="1"/>
  <c r="V320" i="39" s="1"/>
  <c r="P320" i="39"/>
  <c r="Q320" i="39" s="1"/>
  <c r="R320" i="39" s="1"/>
  <c r="L320" i="39"/>
  <c r="M320" i="39" s="1"/>
  <c r="N320" i="39" s="1"/>
  <c r="H320" i="39"/>
  <c r="I320" i="39" s="1"/>
  <c r="J320" i="39" s="1"/>
  <c r="X342" i="39"/>
  <c r="Y342" i="39" s="1"/>
  <c r="Z342" i="39" s="1"/>
  <c r="T342" i="39"/>
  <c r="U342" i="39" s="1"/>
  <c r="V342" i="39" s="1"/>
  <c r="L342" i="39"/>
  <c r="M342" i="39" s="1"/>
  <c r="N342" i="39" s="1"/>
  <c r="P342" i="39"/>
  <c r="Q342" i="39" s="1"/>
  <c r="R342" i="39" s="1"/>
  <c r="H342" i="39"/>
  <c r="I342" i="39" s="1"/>
  <c r="J342" i="39" s="1"/>
  <c r="X252" i="39"/>
  <c r="Y252" i="39" s="1"/>
  <c r="Z252" i="39" s="1"/>
  <c r="T252" i="39"/>
  <c r="U252" i="39" s="1"/>
  <c r="V252" i="39" s="1"/>
  <c r="P252" i="39"/>
  <c r="Q252" i="39" s="1"/>
  <c r="R252" i="39" s="1"/>
  <c r="H252" i="39"/>
  <c r="I252" i="39" s="1"/>
  <c r="J252" i="39" s="1"/>
  <c r="L252" i="39"/>
  <c r="M252" i="39" s="1"/>
  <c r="N252" i="39" s="1"/>
  <c r="X322" i="39"/>
  <c r="Y322" i="39" s="1"/>
  <c r="Z322" i="39" s="1"/>
  <c r="T322" i="39"/>
  <c r="U322" i="39" s="1"/>
  <c r="V322" i="39" s="1"/>
  <c r="L322" i="39"/>
  <c r="M322" i="39" s="1"/>
  <c r="N322" i="39" s="1"/>
  <c r="P322" i="39"/>
  <c r="Q322" i="39" s="1"/>
  <c r="R322" i="39" s="1"/>
  <c r="H322" i="39"/>
  <c r="I322" i="39" s="1"/>
  <c r="J322" i="39" s="1"/>
  <c r="X266" i="39"/>
  <c r="Y266" i="39" s="1"/>
  <c r="Z266" i="39" s="1"/>
  <c r="T266" i="39"/>
  <c r="U266" i="39" s="1"/>
  <c r="V266" i="39" s="1"/>
  <c r="L266" i="39"/>
  <c r="M266" i="39" s="1"/>
  <c r="N266" i="39" s="1"/>
  <c r="P266" i="39"/>
  <c r="Q266" i="39" s="1"/>
  <c r="R266" i="39" s="1"/>
  <c r="H266" i="39"/>
  <c r="I266" i="39" s="1"/>
  <c r="J266" i="39" s="1"/>
  <c r="X229" i="39"/>
  <c r="Y229" i="39" s="1"/>
  <c r="Z229" i="39" s="1"/>
  <c r="T229" i="39"/>
  <c r="U229" i="39" s="1"/>
  <c r="V229" i="39" s="1"/>
  <c r="P229" i="39"/>
  <c r="Q229" i="39" s="1"/>
  <c r="R229" i="39" s="1"/>
  <c r="L229" i="39"/>
  <c r="M229" i="39" s="1"/>
  <c r="N229" i="39" s="1"/>
  <c r="H229" i="39"/>
  <c r="I229" i="39" s="1"/>
  <c r="J229" i="39" s="1"/>
  <c r="X324" i="39"/>
  <c r="Y324" i="39" s="1"/>
  <c r="Z324" i="39" s="1"/>
  <c r="T324" i="39"/>
  <c r="U324" i="39" s="1"/>
  <c r="V324" i="39" s="1"/>
  <c r="P324" i="39"/>
  <c r="Q324" i="39" s="1"/>
  <c r="R324" i="39" s="1"/>
  <c r="H324" i="39"/>
  <c r="I324" i="39" s="1"/>
  <c r="J324" i="39" s="1"/>
  <c r="L324" i="39"/>
  <c r="M324" i="39" s="1"/>
  <c r="N324" i="39" s="1"/>
  <c r="X357" i="39"/>
  <c r="Y357" i="39" s="1"/>
  <c r="Z357" i="39" s="1"/>
  <c r="T357" i="39"/>
  <c r="U357" i="39" s="1"/>
  <c r="V357" i="39" s="1"/>
  <c r="L357" i="39"/>
  <c r="M357" i="39" s="1"/>
  <c r="N357" i="39" s="1"/>
  <c r="P357" i="39"/>
  <c r="Q357" i="39" s="1"/>
  <c r="R357" i="39" s="1"/>
  <c r="H357" i="39"/>
  <c r="I357" i="39" s="1"/>
  <c r="J357" i="39" s="1"/>
  <c r="X272" i="39"/>
  <c r="Y272" i="39" s="1"/>
  <c r="Z272" i="39" s="1"/>
  <c r="T272" i="39"/>
  <c r="U272" i="39" s="1"/>
  <c r="V272" i="39" s="1"/>
  <c r="P272" i="39"/>
  <c r="Q272" i="39" s="1"/>
  <c r="R272" i="39" s="1"/>
  <c r="H272" i="39"/>
  <c r="I272" i="39" s="1"/>
  <c r="J272" i="39" s="1"/>
  <c r="L272" i="39"/>
  <c r="M272" i="39" s="1"/>
  <c r="N272" i="39" s="1"/>
  <c r="P226" i="39"/>
  <c r="Q226" i="39" s="1"/>
  <c r="R226" i="39" s="1"/>
  <c r="X226" i="39"/>
  <c r="Y226" i="39" s="1"/>
  <c r="Z226" i="39" s="1"/>
  <c r="T226" i="39"/>
  <c r="U226" i="39" s="1"/>
  <c r="V226" i="39" s="1"/>
  <c r="L226" i="39"/>
  <c r="M226" i="39" s="1"/>
  <c r="N226" i="39" s="1"/>
  <c r="H226" i="39"/>
  <c r="I226" i="39" s="1"/>
  <c r="J226" i="39" s="1"/>
  <c r="X314" i="39"/>
  <c r="Y314" i="39" s="1"/>
  <c r="Z314" i="39" s="1"/>
  <c r="T314" i="39"/>
  <c r="U314" i="39" s="1"/>
  <c r="V314" i="39" s="1"/>
  <c r="L314" i="39"/>
  <c r="M314" i="39" s="1"/>
  <c r="N314" i="39" s="1"/>
  <c r="P314" i="39"/>
  <c r="Q314" i="39" s="1"/>
  <c r="R314" i="39" s="1"/>
  <c r="H314" i="39"/>
  <c r="I314" i="39" s="1"/>
  <c r="J314" i="39" s="1"/>
  <c r="X224" i="39"/>
  <c r="Y224" i="39" s="1"/>
  <c r="Z224" i="39" s="1"/>
  <c r="T224" i="39"/>
  <c r="U224" i="39" s="1"/>
  <c r="V224" i="39" s="1"/>
  <c r="P224" i="39"/>
  <c r="Q224" i="39" s="1"/>
  <c r="R224" i="39" s="1"/>
  <c r="H224" i="39"/>
  <c r="I224" i="39" s="1"/>
  <c r="J224" i="39" s="1"/>
  <c r="L224" i="39"/>
  <c r="M224" i="39" s="1"/>
  <c r="N224" i="39" s="1"/>
  <c r="T331" i="39"/>
  <c r="U331" i="39" s="1"/>
  <c r="V331" i="39" s="1"/>
  <c r="X331" i="39"/>
  <c r="Y331" i="39" s="1"/>
  <c r="Z331" i="39" s="1"/>
  <c r="L331" i="39"/>
  <c r="M331" i="39" s="1"/>
  <c r="N331" i="39" s="1"/>
  <c r="P331" i="39"/>
  <c r="Q331" i="39" s="1"/>
  <c r="R331" i="39" s="1"/>
  <c r="H331" i="39"/>
  <c r="I331" i="39" s="1"/>
  <c r="J331" i="39" s="1"/>
  <c r="T359" i="39"/>
  <c r="U359" i="39" s="1"/>
  <c r="V359" i="39" s="1"/>
  <c r="X359" i="39"/>
  <c r="Y359" i="39" s="1"/>
  <c r="Z359" i="39" s="1"/>
  <c r="L359" i="39"/>
  <c r="M359" i="39" s="1"/>
  <c r="N359" i="39" s="1"/>
  <c r="P359" i="39"/>
  <c r="Q359" i="39" s="1"/>
  <c r="R359" i="39" s="1"/>
  <c r="H359" i="39"/>
  <c r="I359" i="39" s="1"/>
  <c r="J359" i="39" s="1"/>
  <c r="J360" i="39" s="1"/>
  <c r="X276" i="39"/>
  <c r="Y276" i="39" s="1"/>
  <c r="Z276" i="39" s="1"/>
  <c r="T276" i="39"/>
  <c r="U276" i="39" s="1"/>
  <c r="V276" i="39" s="1"/>
  <c r="P276" i="39"/>
  <c r="Q276" i="39" s="1"/>
  <c r="R276" i="39" s="1"/>
  <c r="H276" i="39"/>
  <c r="I276" i="39" s="1"/>
  <c r="J276" i="39" s="1"/>
  <c r="L276" i="39"/>
  <c r="M276" i="39" s="1"/>
  <c r="N276" i="39" s="1"/>
  <c r="X257" i="39"/>
  <c r="Y257" i="39" s="1"/>
  <c r="Z257" i="39" s="1"/>
  <c r="T257" i="39"/>
  <c r="U257" i="39" s="1"/>
  <c r="V257" i="39" s="1"/>
  <c r="P257" i="39"/>
  <c r="Q257" i="39" s="1"/>
  <c r="R257" i="39" s="1"/>
  <c r="L257" i="39"/>
  <c r="M257" i="39" s="1"/>
  <c r="N257" i="39" s="1"/>
  <c r="H257" i="39"/>
  <c r="I257" i="39" s="1"/>
  <c r="J257" i="39" s="1"/>
  <c r="X285" i="39"/>
  <c r="Y285" i="39" s="1"/>
  <c r="Z285" i="39" s="1"/>
  <c r="T285" i="39"/>
  <c r="U285" i="39" s="1"/>
  <c r="V285" i="39" s="1"/>
  <c r="L285" i="39"/>
  <c r="M285" i="39" s="1"/>
  <c r="N285" i="39" s="1"/>
  <c r="P285" i="39"/>
  <c r="Q285" i="39" s="1"/>
  <c r="R285" i="39" s="1"/>
  <c r="H285" i="39"/>
  <c r="I285" i="39" s="1"/>
  <c r="J285" i="39" s="1"/>
  <c r="X274" i="39"/>
  <c r="Y274" i="39" s="1"/>
  <c r="Z274" i="39" s="1"/>
  <c r="T274" i="39"/>
  <c r="U274" i="39" s="1"/>
  <c r="V274" i="39" s="1"/>
  <c r="L274" i="39"/>
  <c r="M274" i="39" s="1"/>
  <c r="N274" i="39" s="1"/>
  <c r="P274" i="39"/>
  <c r="Q274" i="39" s="1"/>
  <c r="R274" i="39" s="1"/>
  <c r="H274" i="39"/>
  <c r="I274" i="39" s="1"/>
  <c r="J274" i="39" s="1"/>
  <c r="H87" i="39"/>
  <c r="I87" i="39" s="1"/>
  <c r="J87" i="39" s="1"/>
  <c r="H111" i="39"/>
  <c r="I111" i="39" s="1"/>
  <c r="J111" i="39" s="1"/>
  <c r="M127" i="39"/>
  <c r="N127" i="39" s="1"/>
  <c r="Q198" i="39"/>
  <c r="R198" i="39" s="1"/>
  <c r="M160" i="39"/>
  <c r="N160" i="39" s="1"/>
  <c r="H76" i="39"/>
  <c r="I76" i="39" s="1"/>
  <c r="J76" i="39" s="1"/>
  <c r="F269" i="39"/>
  <c r="F277" i="39"/>
  <c r="F298" i="39"/>
  <c r="M249" i="39"/>
  <c r="N249" i="39" s="1"/>
  <c r="F249" i="39"/>
  <c r="F334" i="39"/>
  <c r="F280" i="39"/>
  <c r="F327" i="39"/>
  <c r="F227" i="39"/>
  <c r="F233" i="39"/>
  <c r="F341" i="39"/>
  <c r="I250" i="39"/>
  <c r="J250" i="39" s="1"/>
  <c r="F250" i="39"/>
  <c r="F353" i="39"/>
  <c r="F273" i="39"/>
  <c r="F245" i="39"/>
  <c r="F315" i="39"/>
  <c r="F283" i="39"/>
  <c r="F326" i="39"/>
  <c r="F320" i="39"/>
  <c r="F294" i="39"/>
  <c r="F239" i="39"/>
  <c r="F253" i="39"/>
  <c r="F319" i="39"/>
  <c r="F225" i="39"/>
  <c r="F304" i="39"/>
  <c r="F307" i="39"/>
  <c r="F259" i="39"/>
  <c r="F270" i="39"/>
  <c r="F295" i="39"/>
  <c r="F222" i="39"/>
  <c r="F332" i="39"/>
  <c r="F302" i="39"/>
  <c r="F218" i="39"/>
  <c r="F346" i="39"/>
  <c r="F297" i="39"/>
  <c r="F246" i="39"/>
  <c r="H164" i="39"/>
  <c r="I164" i="39" s="1"/>
  <c r="J164" i="39" s="1"/>
  <c r="Q164" i="39"/>
  <c r="R164" i="39" s="1"/>
  <c r="M115" i="39"/>
  <c r="N115" i="39" s="1"/>
  <c r="M136" i="39"/>
  <c r="N136" i="39" s="1"/>
  <c r="H195" i="39"/>
  <c r="I195" i="39" s="1"/>
  <c r="J195" i="39" s="1"/>
  <c r="Q189" i="39"/>
  <c r="R189" i="39" s="1"/>
  <c r="F312" i="39"/>
  <c r="F220" i="39"/>
  <c r="F306" i="39"/>
  <c r="F339" i="39"/>
  <c r="F247" i="39"/>
  <c r="F289" i="39"/>
  <c r="F336" i="39"/>
  <c r="F235" i="39"/>
  <c r="F231" i="39"/>
  <c r="F344" i="39"/>
  <c r="F354" i="39"/>
  <c r="F267" i="39"/>
  <c r="F293" i="39"/>
  <c r="F237" i="39"/>
  <c r="M240" i="39"/>
  <c r="N240" i="39" s="1"/>
  <c r="F240" i="39"/>
  <c r="F305" i="39"/>
  <c r="F287" i="39"/>
  <c r="F251" i="39"/>
  <c r="F329" i="39"/>
  <c r="F232" i="39"/>
  <c r="F322" i="39"/>
  <c r="F266" i="39"/>
  <c r="F229" i="39"/>
  <c r="F278" i="39"/>
  <c r="F347" i="39"/>
  <c r="F256" i="39"/>
  <c r="F226" i="39"/>
  <c r="F314" i="39"/>
  <c r="F224" i="39"/>
  <c r="F309" i="39"/>
  <c r="F260" i="39"/>
  <c r="F241" i="39"/>
  <c r="F335" i="39"/>
  <c r="F243" i="39"/>
  <c r="F333" i="39"/>
  <c r="F310" i="39"/>
  <c r="F261" i="39"/>
  <c r="F300" i="39"/>
  <c r="F318" i="39"/>
  <c r="F352" i="39"/>
  <c r="F265" i="39"/>
  <c r="F343" i="39"/>
  <c r="F271" i="39"/>
  <c r="F244" i="39"/>
  <c r="F313" i="39"/>
  <c r="F299" i="39"/>
  <c r="F284" i="39"/>
  <c r="F358" i="39"/>
  <c r="F328" i="39"/>
  <c r="F230" i="39"/>
  <c r="F316" i="39"/>
  <c r="F223" i="39"/>
  <c r="F345" i="39"/>
  <c r="F221" i="39"/>
  <c r="F342" i="39"/>
  <c r="F252" i="39"/>
  <c r="F290" i="39"/>
  <c r="F219" i="39"/>
  <c r="F281" i="39"/>
  <c r="F357" i="39"/>
  <c r="F272" i="39"/>
  <c r="F242" i="39"/>
  <c r="F321" i="39"/>
  <c r="F228" i="39"/>
  <c r="F331" i="39"/>
  <c r="F350" i="39"/>
  <c r="F258" i="39"/>
  <c r="F257" i="39"/>
  <c r="F349" i="39"/>
  <c r="F263" i="39"/>
  <c r="F255" i="39"/>
  <c r="F337" i="39"/>
  <c r="F351" i="39"/>
  <c r="F279" i="39"/>
  <c r="F286" i="39"/>
  <c r="F282" i="39"/>
  <c r="F355" i="39"/>
  <c r="F292" i="39"/>
  <c r="F234" i="39"/>
  <c r="F291" i="39"/>
  <c r="F303" i="39"/>
  <c r="F254" i="39"/>
  <c r="F262" i="39"/>
  <c r="F340" i="39"/>
  <c r="F238" i="39"/>
  <c r="F311" i="39"/>
  <c r="F317" i="39"/>
  <c r="Y317" i="39"/>
  <c r="Z317" i="39" s="1"/>
  <c r="F264" i="39"/>
  <c r="F216" i="39"/>
  <c r="F338" i="39"/>
  <c r="F356" i="39"/>
  <c r="F275" i="39"/>
  <c r="F248" i="39"/>
  <c r="F323" i="39"/>
  <c r="F308" i="39"/>
  <c r="M288" i="39"/>
  <c r="N288" i="39" s="1"/>
  <c r="F288" i="39"/>
  <c r="F324" i="39"/>
  <c r="F325" i="39"/>
  <c r="F301" i="39"/>
  <c r="F217" i="39"/>
  <c r="F296" i="39"/>
  <c r="F330" i="39"/>
  <c r="F268" i="39"/>
  <c r="F236" i="39"/>
  <c r="F348" i="39"/>
  <c r="F359" i="39"/>
  <c r="F276" i="39"/>
  <c r="F285" i="39"/>
  <c r="F274" i="39"/>
  <c r="M123" i="39"/>
  <c r="N123" i="39" s="1"/>
  <c r="U78" i="39"/>
  <c r="V78" i="39" s="1"/>
  <c r="Y163" i="39"/>
  <c r="Z163" i="39" s="1"/>
  <c r="M109" i="39"/>
  <c r="N109" i="39" s="1"/>
  <c r="Y137" i="39"/>
  <c r="Z137" i="39" s="1"/>
  <c r="Q78" i="39"/>
  <c r="R78" i="39" s="1"/>
  <c r="H123" i="39"/>
  <c r="I123" i="39" s="1"/>
  <c r="J123" i="39" s="1"/>
  <c r="M92" i="39"/>
  <c r="N92" i="39" s="1"/>
  <c r="Y131" i="39"/>
  <c r="Z131" i="39" s="1"/>
  <c r="Q94" i="39"/>
  <c r="R94" i="39" s="1"/>
  <c r="U199" i="39"/>
  <c r="V199" i="39" s="1"/>
  <c r="M172" i="39"/>
  <c r="N172" i="39" s="1"/>
  <c r="Y78" i="39"/>
  <c r="Z78" i="39" s="1"/>
  <c r="H163" i="39"/>
  <c r="I163" i="39" s="1"/>
  <c r="J163" i="39" s="1"/>
  <c r="U163" i="39"/>
  <c r="V163" i="39" s="1"/>
  <c r="Q163" i="39"/>
  <c r="R163" i="39" s="1"/>
  <c r="U121" i="39"/>
  <c r="V121" i="39" s="1"/>
  <c r="H78" i="39"/>
  <c r="I78" i="39" s="1"/>
  <c r="J78" i="39" s="1"/>
  <c r="U168" i="39"/>
  <c r="V168" i="39" s="1"/>
  <c r="M101" i="39"/>
  <c r="N101" i="39" s="1"/>
  <c r="Q131" i="39"/>
  <c r="R131" i="39" s="1"/>
  <c r="Q99" i="39"/>
  <c r="R99" i="39" s="1"/>
  <c r="H150" i="39"/>
  <c r="I150" i="39" s="1"/>
  <c r="J150" i="39" s="1"/>
  <c r="H114" i="39"/>
  <c r="I114" i="39" s="1"/>
  <c r="J114" i="39" s="1"/>
  <c r="Y96" i="39"/>
  <c r="Z96" i="39" s="1"/>
  <c r="M179" i="39"/>
  <c r="N179" i="39" s="1"/>
  <c r="M177" i="39"/>
  <c r="N177" i="39" s="1"/>
  <c r="M168" i="39"/>
  <c r="N168" i="39" s="1"/>
  <c r="F214" i="39"/>
  <c r="F215" i="39"/>
  <c r="F62" i="39"/>
  <c r="H62" i="39"/>
  <c r="I62" i="39" s="1"/>
  <c r="J62" i="39" s="1"/>
  <c r="U181" i="39"/>
  <c r="V181" i="39" s="1"/>
  <c r="Y181" i="39"/>
  <c r="Z181" i="39" s="1"/>
  <c r="H104" i="39"/>
  <c r="I104" i="39" s="1"/>
  <c r="J104" i="39" s="1"/>
  <c r="Q162" i="39"/>
  <c r="R162" i="39" s="1"/>
  <c r="U92" i="39"/>
  <c r="V92" i="39" s="1"/>
  <c r="Q181" i="39"/>
  <c r="R181" i="39" s="1"/>
  <c r="H181" i="39"/>
  <c r="I181" i="39" s="1"/>
  <c r="J181" i="39" s="1"/>
  <c r="Y101" i="39"/>
  <c r="Z101" i="39" s="1"/>
  <c r="H141" i="39"/>
  <c r="I141" i="39" s="1"/>
  <c r="J141" i="39" s="1"/>
  <c r="M141" i="39"/>
  <c r="N141" i="39" s="1"/>
  <c r="H162" i="39"/>
  <c r="I162" i="39" s="1"/>
  <c r="J162" i="39" s="1"/>
  <c r="M111" i="39"/>
  <c r="N111" i="39" s="1"/>
  <c r="H121" i="39"/>
  <c r="I121" i="39" s="1"/>
  <c r="J121" i="39" s="1"/>
  <c r="Q123" i="39"/>
  <c r="R123" i="39" s="1"/>
  <c r="M164" i="39"/>
  <c r="N164" i="39" s="1"/>
  <c r="Y111" i="39"/>
  <c r="Z111" i="39" s="1"/>
  <c r="H101" i="39"/>
  <c r="I101" i="39" s="1"/>
  <c r="J101" i="39" s="1"/>
  <c r="H92" i="39"/>
  <c r="I92" i="39" s="1"/>
  <c r="J92" i="39" s="1"/>
  <c r="M104" i="39"/>
  <c r="N104" i="39" s="1"/>
  <c r="U104" i="39"/>
  <c r="V104" i="39" s="1"/>
  <c r="U123" i="39"/>
  <c r="V123" i="39" s="1"/>
  <c r="U131" i="39"/>
  <c r="V131" i="39" s="1"/>
  <c r="Q141" i="39"/>
  <c r="R141" i="39" s="1"/>
  <c r="H131" i="39"/>
  <c r="I131" i="39" s="1"/>
  <c r="J131" i="39" s="1"/>
  <c r="Q166" i="39"/>
  <c r="R166" i="39" s="1"/>
  <c r="U72" i="39"/>
  <c r="V72" i="39" s="1"/>
  <c r="U155" i="39"/>
  <c r="V155" i="39" s="1"/>
  <c r="M155" i="39"/>
  <c r="N155" i="39" s="1"/>
  <c r="Y69" i="39"/>
  <c r="Z69" i="39" s="1"/>
  <c r="Q183" i="39"/>
  <c r="R183" i="39" s="1"/>
  <c r="U159" i="39"/>
  <c r="V159" i="39" s="1"/>
  <c r="H108" i="39"/>
  <c r="I108" i="39" s="1"/>
  <c r="J108" i="39" s="1"/>
  <c r="Q155" i="39"/>
  <c r="R155" i="39" s="1"/>
  <c r="H69" i="39"/>
  <c r="I69" i="39" s="1"/>
  <c r="J69" i="39" s="1"/>
  <c r="Q68" i="39"/>
  <c r="R68" i="39" s="1"/>
  <c r="H172" i="39"/>
  <c r="I172" i="39" s="1"/>
  <c r="J172" i="39" s="1"/>
  <c r="H68" i="39"/>
  <c r="I68" i="39" s="1"/>
  <c r="J68" i="39" s="1"/>
  <c r="H183" i="39"/>
  <c r="I183" i="39" s="1"/>
  <c r="J183" i="39" s="1"/>
  <c r="Y159" i="39"/>
  <c r="Z159" i="39" s="1"/>
  <c r="U108" i="39"/>
  <c r="V108" i="39" s="1"/>
  <c r="Y68" i="39"/>
  <c r="Z68" i="39" s="1"/>
  <c r="M68" i="39"/>
  <c r="N68" i="39" s="1"/>
  <c r="Q86" i="39"/>
  <c r="R86" i="39" s="1"/>
  <c r="H86" i="39"/>
  <c r="I86" i="39" s="1"/>
  <c r="J86" i="39" s="1"/>
  <c r="M86" i="39"/>
  <c r="N86" i="39" s="1"/>
  <c r="U86" i="39"/>
  <c r="V86" i="39" s="1"/>
  <c r="H196" i="39"/>
  <c r="I196" i="39" s="1"/>
  <c r="J196" i="39" s="1"/>
  <c r="Q80" i="39"/>
  <c r="R80" i="39" s="1"/>
  <c r="H159" i="39"/>
  <c r="I159" i="39" s="1"/>
  <c r="J159" i="39" s="1"/>
  <c r="Q159" i="39"/>
  <c r="R159" i="39" s="1"/>
  <c r="Y76" i="39"/>
  <c r="Z76" i="39" s="1"/>
  <c r="M183" i="39"/>
  <c r="N183" i="39" s="1"/>
  <c r="Q135" i="39"/>
  <c r="R135" i="39" s="1"/>
  <c r="Y183" i="39"/>
  <c r="Z183" i="39" s="1"/>
  <c r="Y80" i="39"/>
  <c r="Z80" i="39" s="1"/>
  <c r="H155" i="39"/>
  <c r="I155" i="39" s="1"/>
  <c r="J155" i="39" s="1"/>
  <c r="M186" i="39"/>
  <c r="N186" i="39" s="1"/>
  <c r="M108" i="39"/>
  <c r="N108" i="39" s="1"/>
  <c r="M171" i="39"/>
  <c r="N171" i="39" s="1"/>
  <c r="H140" i="39"/>
  <c r="I140" i="39" s="1"/>
  <c r="J140" i="39" s="1"/>
  <c r="M167" i="39"/>
  <c r="N167" i="39" s="1"/>
  <c r="H133" i="39"/>
  <c r="I133" i="39" s="1"/>
  <c r="J133" i="39" s="1"/>
  <c r="H167" i="39"/>
  <c r="I167" i="39" s="1"/>
  <c r="J167" i="39" s="1"/>
  <c r="U133" i="39"/>
  <c r="V133" i="39" s="1"/>
  <c r="U116" i="39"/>
  <c r="V116" i="39" s="1"/>
  <c r="M133" i="39"/>
  <c r="N133" i="39" s="1"/>
  <c r="H148" i="39"/>
  <c r="I148" i="39" s="1"/>
  <c r="J148" i="39" s="1"/>
  <c r="U148" i="39"/>
  <c r="V148" i="39" s="1"/>
  <c r="Y148" i="39"/>
  <c r="Z148" i="39" s="1"/>
  <c r="U167" i="39"/>
  <c r="V167" i="39" s="1"/>
  <c r="H116" i="39"/>
  <c r="I116" i="39" s="1"/>
  <c r="J116" i="39" s="1"/>
  <c r="Q167" i="39"/>
  <c r="R167" i="39" s="1"/>
  <c r="Q148" i="39"/>
  <c r="R148" i="39" s="1"/>
  <c r="Q116" i="39"/>
  <c r="R116" i="39" s="1"/>
  <c r="U202" i="39"/>
  <c r="V202" i="39" s="1"/>
  <c r="U80" i="39"/>
  <c r="V80" i="39" s="1"/>
  <c r="H203" i="39"/>
  <c r="I203" i="39" s="1"/>
  <c r="J203" i="39" s="1"/>
  <c r="U203" i="39"/>
  <c r="V203" i="39" s="1"/>
  <c r="U69" i="39"/>
  <c r="V69" i="39" s="1"/>
  <c r="H177" i="39"/>
  <c r="I177" i="39" s="1"/>
  <c r="J177" i="39" s="1"/>
  <c r="M72" i="39"/>
  <c r="N72" i="39" s="1"/>
  <c r="Y171" i="39"/>
  <c r="Z171" i="39" s="1"/>
  <c r="Q105" i="39"/>
  <c r="R105" i="39" s="1"/>
  <c r="M76" i="39"/>
  <c r="N76" i="39" s="1"/>
  <c r="H105" i="39"/>
  <c r="I105" i="39" s="1"/>
  <c r="J105" i="39" s="1"/>
  <c r="M203" i="39"/>
  <c r="N203" i="39" s="1"/>
  <c r="H124" i="39"/>
  <c r="I124" i="39" s="1"/>
  <c r="J124" i="39" s="1"/>
  <c r="Y196" i="39"/>
  <c r="Z196" i="39" s="1"/>
  <c r="H107" i="39"/>
  <c r="I107" i="39" s="1"/>
  <c r="J107" i="39" s="1"/>
  <c r="M199" i="39"/>
  <c r="N199" i="39" s="1"/>
  <c r="U177" i="39"/>
  <c r="V177" i="39" s="1"/>
  <c r="M62" i="39"/>
  <c r="N62" i="39" s="1"/>
  <c r="H166" i="39"/>
  <c r="I166" i="39" s="1"/>
  <c r="J166" i="39" s="1"/>
  <c r="M124" i="39"/>
  <c r="N124" i="39" s="1"/>
  <c r="U124" i="39"/>
  <c r="V124" i="39" s="1"/>
  <c r="H158" i="39"/>
  <c r="I158" i="39" s="1"/>
  <c r="J158" i="39" s="1"/>
  <c r="Y105" i="39"/>
  <c r="Z105" i="39" s="1"/>
  <c r="H186" i="39"/>
  <c r="I186" i="39" s="1"/>
  <c r="J186" i="39" s="1"/>
  <c r="M135" i="39"/>
  <c r="N135" i="39" s="1"/>
  <c r="H72" i="39"/>
  <c r="I72" i="39" s="1"/>
  <c r="J72" i="39" s="1"/>
  <c r="Q139" i="39"/>
  <c r="R139" i="39" s="1"/>
  <c r="U76" i="39"/>
  <c r="V76" i="39" s="1"/>
  <c r="Y124" i="39"/>
  <c r="Z124" i="39" s="1"/>
  <c r="M196" i="39"/>
  <c r="N196" i="39" s="1"/>
  <c r="U140" i="39"/>
  <c r="V140" i="39" s="1"/>
  <c r="M140" i="39"/>
  <c r="N140" i="39" s="1"/>
  <c r="Y109" i="39"/>
  <c r="Z109" i="39" s="1"/>
  <c r="U166" i="39"/>
  <c r="V166" i="39" s="1"/>
  <c r="U158" i="39"/>
  <c r="V158" i="39" s="1"/>
  <c r="Y158" i="39"/>
  <c r="Z158" i="39" s="1"/>
  <c r="Q109" i="39"/>
  <c r="R109" i="39" s="1"/>
  <c r="U107" i="39"/>
  <c r="V107" i="39" s="1"/>
  <c r="M166" i="39"/>
  <c r="N166" i="39" s="1"/>
  <c r="Y139" i="39"/>
  <c r="Z139" i="39" s="1"/>
  <c r="H135" i="39"/>
  <c r="I135" i="39" s="1"/>
  <c r="J135" i="39" s="1"/>
  <c r="Q69" i="39"/>
  <c r="R69" i="39" s="1"/>
  <c r="Q186" i="39"/>
  <c r="R186" i="39" s="1"/>
  <c r="Q177" i="39"/>
  <c r="R177" i="39" s="1"/>
  <c r="Y135" i="39"/>
  <c r="Z135" i="39" s="1"/>
  <c r="M139" i="39"/>
  <c r="N139" i="39" s="1"/>
  <c r="M105" i="39"/>
  <c r="N105" i="39" s="1"/>
  <c r="M178" i="39"/>
  <c r="N178" i="39" s="1"/>
  <c r="Q142" i="39"/>
  <c r="R142" i="39" s="1"/>
  <c r="Q125" i="39"/>
  <c r="R125" i="39" s="1"/>
  <c r="U110" i="39"/>
  <c r="V110" i="39" s="1"/>
  <c r="H173" i="39"/>
  <c r="I173" i="39" s="1"/>
  <c r="J173" i="39" s="1"/>
  <c r="Y156" i="39"/>
  <c r="Z156" i="39" s="1"/>
  <c r="Y143" i="39"/>
  <c r="Z143" i="39" s="1"/>
  <c r="M102" i="39"/>
  <c r="N102" i="39" s="1"/>
  <c r="Q173" i="39"/>
  <c r="R173" i="39" s="1"/>
  <c r="U125" i="39"/>
  <c r="V125" i="39" s="1"/>
  <c r="H152" i="39"/>
  <c r="I152" i="39" s="1"/>
  <c r="J152" i="39" s="1"/>
  <c r="U90" i="39"/>
  <c r="V90" i="39" s="1"/>
  <c r="U106" i="39"/>
  <c r="V106" i="39" s="1"/>
  <c r="H106" i="39"/>
  <c r="I106" i="39" s="1"/>
  <c r="J106" i="39" s="1"/>
  <c r="U207" i="39"/>
  <c r="V207" i="39" s="1"/>
  <c r="H207" i="39"/>
  <c r="I207" i="39" s="1"/>
  <c r="J207" i="39" s="1"/>
  <c r="Q128" i="39"/>
  <c r="R128" i="39" s="1"/>
  <c r="H98" i="39"/>
  <c r="I98" i="39" s="1"/>
  <c r="J98" i="39" s="1"/>
  <c r="Y128" i="39"/>
  <c r="Z128" i="39" s="1"/>
  <c r="M90" i="39"/>
  <c r="N90" i="39" s="1"/>
  <c r="U193" i="39"/>
  <c r="V193" i="39" s="1"/>
  <c r="H176" i="39"/>
  <c r="I176" i="39" s="1"/>
  <c r="J176" i="39" s="1"/>
  <c r="Y110" i="39"/>
  <c r="Z110" i="39" s="1"/>
  <c r="H66" i="39"/>
  <c r="I66" i="39" s="1"/>
  <c r="J66" i="39" s="1"/>
  <c r="U150" i="39"/>
  <c r="V150" i="39" s="1"/>
  <c r="U175" i="39"/>
  <c r="V175" i="39" s="1"/>
  <c r="U142" i="39"/>
  <c r="V142" i="39" s="1"/>
  <c r="Q87" i="39"/>
  <c r="R87" i="39" s="1"/>
  <c r="M106" i="39"/>
  <c r="N106" i="39" s="1"/>
  <c r="Q143" i="39"/>
  <c r="R143" i="39" s="1"/>
  <c r="U102" i="39"/>
  <c r="V102" i="39" s="1"/>
  <c r="Y106" i="39"/>
  <c r="Z106" i="39" s="1"/>
  <c r="H128" i="39"/>
  <c r="I128" i="39" s="1"/>
  <c r="J128" i="39" s="1"/>
  <c r="M128" i="39"/>
  <c r="N128" i="39" s="1"/>
  <c r="H142" i="39"/>
  <c r="I142" i="39" s="1"/>
  <c r="J142" i="39" s="1"/>
  <c r="M152" i="39"/>
  <c r="N152" i="39" s="1"/>
  <c r="U152" i="39"/>
  <c r="V152" i="39" s="1"/>
  <c r="Y103" i="39"/>
  <c r="Z103" i="39" s="1"/>
  <c r="Y90" i="39"/>
  <c r="Z90" i="39" s="1"/>
  <c r="H125" i="39"/>
  <c r="I125" i="39" s="1"/>
  <c r="J125" i="39" s="1"/>
  <c r="M175" i="39"/>
  <c r="N175" i="39" s="1"/>
  <c r="M110" i="39"/>
  <c r="N110" i="39" s="1"/>
  <c r="M193" i="39"/>
  <c r="N193" i="39" s="1"/>
  <c r="U176" i="39"/>
  <c r="V176" i="39" s="1"/>
  <c r="H103" i="39"/>
  <c r="I103" i="39" s="1"/>
  <c r="J103" i="39" s="1"/>
  <c r="U87" i="39"/>
  <c r="V87" i="39" s="1"/>
  <c r="U138" i="39"/>
  <c r="V138" i="39" s="1"/>
  <c r="U120" i="39"/>
  <c r="V120" i="39" s="1"/>
  <c r="H120" i="39"/>
  <c r="I120" i="39" s="1"/>
  <c r="J120" i="39" s="1"/>
  <c r="Q194" i="39"/>
  <c r="R194" i="39" s="1"/>
  <c r="Y194" i="39"/>
  <c r="Z194" i="39" s="1"/>
  <c r="U64" i="39"/>
  <c r="V64" i="39" s="1"/>
  <c r="Y150" i="39"/>
  <c r="Z150" i="39" s="1"/>
  <c r="H64" i="39"/>
  <c r="I64" i="39" s="1"/>
  <c r="J64" i="39" s="1"/>
  <c r="Q195" i="39"/>
  <c r="R195" i="39" s="1"/>
  <c r="M205" i="39"/>
  <c r="N205" i="39" s="1"/>
  <c r="M207" i="39"/>
  <c r="N207" i="39" s="1"/>
  <c r="U143" i="39"/>
  <c r="V143" i="39" s="1"/>
  <c r="Y102" i="39"/>
  <c r="Z102" i="39" s="1"/>
  <c r="Q207" i="39"/>
  <c r="R207" i="39" s="1"/>
  <c r="U98" i="39"/>
  <c r="V98" i="39" s="1"/>
  <c r="M98" i="39"/>
  <c r="N98" i="39" s="1"/>
  <c r="Y173" i="39"/>
  <c r="Z173" i="39" s="1"/>
  <c r="U173" i="39"/>
  <c r="V173" i="39" s="1"/>
  <c r="Q152" i="39"/>
  <c r="R152" i="39" s="1"/>
  <c r="Q103" i="39"/>
  <c r="R103" i="39" s="1"/>
  <c r="H90" i="39"/>
  <c r="I90" i="39" s="1"/>
  <c r="J90" i="39" s="1"/>
  <c r="M125" i="39"/>
  <c r="N125" i="39" s="1"/>
  <c r="Y175" i="39"/>
  <c r="Z175" i="39" s="1"/>
  <c r="H110" i="39"/>
  <c r="I110" i="39" s="1"/>
  <c r="J110" i="39" s="1"/>
  <c r="Y205" i="39"/>
  <c r="Z205" i="39" s="1"/>
  <c r="H205" i="39"/>
  <c r="I205" i="39" s="1"/>
  <c r="J205" i="39" s="1"/>
  <c r="Y138" i="39"/>
  <c r="Z138" i="39" s="1"/>
  <c r="Q120" i="39"/>
  <c r="R120" i="39" s="1"/>
  <c r="M120" i="39"/>
  <c r="N120" i="39" s="1"/>
  <c r="U94" i="39"/>
  <c r="V94" i="39" s="1"/>
  <c r="H94" i="39"/>
  <c r="I94" i="39" s="1"/>
  <c r="J94" i="39" s="1"/>
  <c r="M64" i="39"/>
  <c r="N64" i="39" s="1"/>
  <c r="Y195" i="39"/>
  <c r="Z195" i="39" s="1"/>
  <c r="M195" i="39"/>
  <c r="N195" i="39" s="1"/>
  <c r="U103" i="39"/>
  <c r="V103" i="39" s="1"/>
  <c r="H193" i="39"/>
  <c r="I193" i="39" s="1"/>
  <c r="J193" i="39" s="1"/>
  <c r="Y193" i="39"/>
  <c r="Z193" i="39" s="1"/>
  <c r="Y142" i="39"/>
  <c r="Z142" i="39" s="1"/>
  <c r="Y176" i="39"/>
  <c r="Z176" i="39" s="1"/>
  <c r="Q205" i="39"/>
  <c r="R205" i="39" s="1"/>
  <c r="M87" i="39"/>
  <c r="N87" i="39" s="1"/>
  <c r="H138" i="39"/>
  <c r="I138" i="39" s="1"/>
  <c r="J138" i="39" s="1"/>
  <c r="H194" i="39"/>
  <c r="I194" i="39" s="1"/>
  <c r="J194" i="39" s="1"/>
  <c r="U194" i="39"/>
  <c r="V194" i="39" s="1"/>
  <c r="Y66" i="39"/>
  <c r="Z66" i="39" s="1"/>
  <c r="M150" i="39"/>
  <c r="N150" i="39" s="1"/>
  <c r="M176" i="39"/>
  <c r="N176" i="39" s="1"/>
  <c r="U66" i="39"/>
  <c r="V66" i="39" s="1"/>
  <c r="Q64" i="39"/>
  <c r="R64" i="39" s="1"/>
  <c r="U136" i="39"/>
  <c r="V136" i="39" s="1"/>
  <c r="M94" i="39"/>
  <c r="N94" i="39" s="1"/>
  <c r="Y65" i="39"/>
  <c r="Z65" i="39" s="1"/>
  <c r="Q145" i="39"/>
  <c r="R145" i="39" s="1"/>
  <c r="Q114" i="39"/>
  <c r="R114" i="39" s="1"/>
  <c r="Q129" i="39"/>
  <c r="R129" i="39" s="1"/>
  <c r="Q146" i="39"/>
  <c r="R146" i="39" s="1"/>
  <c r="H83" i="39"/>
  <c r="I83" i="39" s="1"/>
  <c r="J83" i="39" s="1"/>
  <c r="Q169" i="39"/>
  <c r="R169" i="39" s="1"/>
  <c r="H169" i="39"/>
  <c r="I169" i="39" s="1"/>
  <c r="J169" i="39" s="1"/>
  <c r="M84" i="39"/>
  <c r="N84" i="39" s="1"/>
  <c r="Y85" i="39"/>
  <c r="Z85" i="39" s="1"/>
  <c r="U91" i="39"/>
  <c r="V91" i="39" s="1"/>
  <c r="Y147" i="39"/>
  <c r="Z147" i="39" s="1"/>
  <c r="U81" i="39"/>
  <c r="V81" i="39" s="1"/>
  <c r="Q75" i="39"/>
  <c r="R75" i="39" s="1"/>
  <c r="U96" i="39"/>
  <c r="V96" i="39" s="1"/>
  <c r="Q170" i="39"/>
  <c r="R170" i="39" s="1"/>
  <c r="U65" i="39"/>
  <c r="V65" i="39" s="1"/>
  <c r="H115" i="39"/>
  <c r="I115" i="39" s="1"/>
  <c r="J115" i="39" s="1"/>
  <c r="M114" i="39"/>
  <c r="N114" i="39" s="1"/>
  <c r="H70" i="39"/>
  <c r="I70" i="39" s="1"/>
  <c r="J70" i="39" s="1"/>
  <c r="H198" i="39"/>
  <c r="I198" i="39" s="1"/>
  <c r="J198" i="39" s="1"/>
  <c r="H81" i="39"/>
  <c r="I81" i="39" s="1"/>
  <c r="J81" i="39" s="1"/>
  <c r="M81" i="39"/>
  <c r="N81" i="39" s="1"/>
  <c r="H96" i="39"/>
  <c r="I96" i="39" s="1"/>
  <c r="J96" i="39" s="1"/>
  <c r="Q70" i="39"/>
  <c r="R70" i="39" s="1"/>
  <c r="M170" i="39"/>
  <c r="N170" i="39" s="1"/>
  <c r="M95" i="39"/>
  <c r="N95" i="39" s="1"/>
  <c r="H179" i="39"/>
  <c r="I179" i="39" s="1"/>
  <c r="J179" i="39" s="1"/>
  <c r="Q179" i="39"/>
  <c r="R179" i="39" s="1"/>
  <c r="M129" i="39"/>
  <c r="N129" i="39" s="1"/>
  <c r="H185" i="39"/>
  <c r="I185" i="39" s="1"/>
  <c r="J185" i="39" s="1"/>
  <c r="M185" i="39"/>
  <c r="N185" i="39" s="1"/>
  <c r="Q122" i="39"/>
  <c r="R122" i="39" s="1"/>
  <c r="H192" i="39"/>
  <c r="I192" i="39" s="1"/>
  <c r="J192" i="39" s="1"/>
  <c r="Y70" i="39"/>
  <c r="Z70" i="39" s="1"/>
  <c r="H144" i="39"/>
  <c r="I144" i="39" s="1"/>
  <c r="J144" i="39" s="1"/>
  <c r="H170" i="39"/>
  <c r="I170" i="39" s="1"/>
  <c r="J170" i="39" s="1"/>
  <c r="M70" i="39"/>
  <c r="N70" i="39" s="1"/>
  <c r="Y129" i="39"/>
  <c r="Z129" i="39" s="1"/>
  <c r="U185" i="39"/>
  <c r="V185" i="39" s="1"/>
  <c r="Q73" i="39"/>
  <c r="R73" i="39" s="1"/>
  <c r="Q185" i="39"/>
  <c r="R185" i="39" s="1"/>
  <c r="U157" i="39"/>
  <c r="V157" i="39" s="1"/>
  <c r="U67" i="39"/>
  <c r="V67" i="39" s="1"/>
  <c r="M67" i="39"/>
  <c r="N67" i="39" s="1"/>
  <c r="U84" i="39"/>
  <c r="V84" i="39" s="1"/>
  <c r="H85" i="39"/>
  <c r="I85" i="39" s="1"/>
  <c r="J85" i="39" s="1"/>
  <c r="M96" i="39"/>
  <c r="N96" i="39" s="1"/>
  <c r="H91" i="39"/>
  <c r="I91" i="39" s="1"/>
  <c r="J91" i="39" s="1"/>
  <c r="Q144" i="39"/>
  <c r="R144" i="39" s="1"/>
  <c r="H65" i="39"/>
  <c r="I65" i="39" s="1"/>
  <c r="J65" i="39" s="1"/>
  <c r="H73" i="39"/>
  <c r="I73" i="39" s="1"/>
  <c r="J73" i="39" s="1"/>
  <c r="H188" i="39"/>
  <c r="I188" i="39" s="1"/>
  <c r="J188" i="39" s="1"/>
  <c r="U179" i="39"/>
  <c r="V179" i="39" s="1"/>
  <c r="Y206" i="39"/>
  <c r="Z206" i="39" s="1"/>
  <c r="Y114" i="39"/>
  <c r="Z114" i="39" s="1"/>
  <c r="Y73" i="39"/>
  <c r="Z73" i="39" s="1"/>
  <c r="Q81" i="39"/>
  <c r="R81" i="39" s="1"/>
  <c r="U187" i="39"/>
  <c r="V187" i="39" s="1"/>
  <c r="H75" i="39"/>
  <c r="I75" i="39" s="1"/>
  <c r="J75" i="39" s="1"/>
  <c r="H182" i="39"/>
  <c r="I182" i="39" s="1"/>
  <c r="J182" i="39" s="1"/>
  <c r="Y82" i="39"/>
  <c r="Z82" i="39" s="1"/>
  <c r="U75" i="39"/>
  <c r="V75" i="39" s="1"/>
  <c r="Q85" i="39"/>
  <c r="R85" i="39" s="1"/>
  <c r="Y169" i="39"/>
  <c r="Z169" i="39" s="1"/>
  <c r="Y122" i="39"/>
  <c r="Z122" i="39" s="1"/>
  <c r="M206" i="39"/>
  <c r="N206" i="39" s="1"/>
  <c r="H206" i="39"/>
  <c r="I206" i="39" s="1"/>
  <c r="J206" i="39" s="1"/>
  <c r="M91" i="39"/>
  <c r="N91" i="39" s="1"/>
  <c r="Y91" i="39"/>
  <c r="Z91" i="39" s="1"/>
  <c r="M144" i="39"/>
  <c r="N144" i="39" s="1"/>
  <c r="Y144" i="39"/>
  <c r="Z144" i="39" s="1"/>
  <c r="U170" i="39"/>
  <c r="V170" i="39" s="1"/>
  <c r="M65" i="39"/>
  <c r="N65" i="39" s="1"/>
  <c r="U73" i="39"/>
  <c r="V73" i="39" s="1"/>
  <c r="H129" i="39"/>
  <c r="I129" i="39" s="1"/>
  <c r="J129" i="39" s="1"/>
  <c r="U174" i="39"/>
  <c r="V174" i="39" s="1"/>
  <c r="M201" i="39"/>
  <c r="N201" i="39" s="1"/>
  <c r="H160" i="39"/>
  <c r="I160" i="39" s="1"/>
  <c r="J160" i="39" s="1"/>
  <c r="U182" i="39"/>
  <c r="V182" i="39" s="1"/>
  <c r="M189" i="39"/>
  <c r="N189" i="39" s="1"/>
  <c r="H146" i="39"/>
  <c r="I146" i="39" s="1"/>
  <c r="J146" i="39" s="1"/>
  <c r="M97" i="39"/>
  <c r="N97" i="39" s="1"/>
  <c r="H190" i="39"/>
  <c r="I190" i="39" s="1"/>
  <c r="J190" i="39" s="1"/>
  <c r="Q190" i="39"/>
  <c r="R190" i="39" s="1"/>
  <c r="Y190" i="39"/>
  <c r="Z190" i="39" s="1"/>
  <c r="M190" i="39"/>
  <c r="N190" i="39" s="1"/>
  <c r="Y67" i="39"/>
  <c r="Z67" i="39" s="1"/>
  <c r="H67" i="39"/>
  <c r="I67" i="39" s="1"/>
  <c r="J67" i="39" s="1"/>
  <c r="H189" i="39"/>
  <c r="I189" i="39" s="1"/>
  <c r="J189" i="39" s="1"/>
  <c r="Y160" i="39"/>
  <c r="Z160" i="39" s="1"/>
  <c r="H201" i="39"/>
  <c r="I201" i="39" s="1"/>
  <c r="J201" i="39" s="1"/>
  <c r="U145" i="39"/>
  <c r="V145" i="39" s="1"/>
  <c r="Q188" i="39"/>
  <c r="R188" i="39" s="1"/>
  <c r="U201" i="39"/>
  <c r="V201" i="39" s="1"/>
  <c r="M188" i="39"/>
  <c r="N188" i="39" s="1"/>
  <c r="U206" i="39"/>
  <c r="V206" i="39" s="1"/>
  <c r="Q132" i="39"/>
  <c r="R132" i="39" s="1"/>
  <c r="Y149" i="39"/>
  <c r="Z149" i="39" s="1"/>
  <c r="Q97" i="39"/>
  <c r="R97" i="39" s="1"/>
  <c r="Y204" i="39"/>
  <c r="Z204" i="39" s="1"/>
  <c r="U189" i="39"/>
  <c r="V189" i="39" s="1"/>
  <c r="U160" i="39"/>
  <c r="V160" i="39" s="1"/>
  <c r="H149" i="39"/>
  <c r="I149" i="39" s="1"/>
  <c r="J149" i="39" s="1"/>
  <c r="U188" i="39"/>
  <c r="V188" i="39" s="1"/>
  <c r="Y145" i="39"/>
  <c r="Z145" i="39" s="1"/>
  <c r="U97" i="39"/>
  <c r="V97" i="39" s="1"/>
  <c r="Q149" i="39"/>
  <c r="R149" i="39" s="1"/>
  <c r="H97" i="39"/>
  <c r="I97" i="39" s="1"/>
  <c r="J97" i="39" s="1"/>
  <c r="H178" i="39"/>
  <c r="I178" i="39" s="1"/>
  <c r="J178" i="39" s="1"/>
  <c r="U100" i="39"/>
  <c r="V100" i="39" s="1"/>
  <c r="M100" i="39"/>
  <c r="N100" i="39" s="1"/>
  <c r="M182" i="39"/>
  <c r="N182" i="39" s="1"/>
  <c r="H204" i="39"/>
  <c r="I204" i="39" s="1"/>
  <c r="J204" i="39" s="1"/>
  <c r="J208" i="39" s="1"/>
  <c r="Q82" i="39"/>
  <c r="R82" i="39" s="1"/>
  <c r="M191" i="39"/>
  <c r="N191" i="39" s="1"/>
  <c r="U127" i="39"/>
  <c r="V127" i="39" s="1"/>
  <c r="M119" i="39"/>
  <c r="N119" i="39" s="1"/>
  <c r="Y99" i="39"/>
  <c r="Z99" i="39" s="1"/>
  <c r="Q182" i="39"/>
  <c r="R182" i="39" s="1"/>
  <c r="H100" i="39"/>
  <c r="I100" i="39" s="1"/>
  <c r="J100" i="39" s="1"/>
  <c r="Q191" i="39"/>
  <c r="R191" i="39" s="1"/>
  <c r="Y63" i="39"/>
  <c r="Z63" i="39" s="1"/>
  <c r="Y174" i="39"/>
  <c r="Z174" i="39" s="1"/>
  <c r="Y132" i="39"/>
  <c r="Z132" i="39" s="1"/>
  <c r="Y119" i="39"/>
  <c r="Z119" i="39" s="1"/>
  <c r="Y117" i="39"/>
  <c r="Z117" i="39" s="1"/>
  <c r="U74" i="39"/>
  <c r="V74" i="39" s="1"/>
  <c r="Y75" i="39"/>
  <c r="Z75" i="39" s="1"/>
  <c r="U169" i="39"/>
  <c r="V169" i="39" s="1"/>
  <c r="M122" i="39"/>
  <c r="N122" i="39" s="1"/>
  <c r="H84" i="39"/>
  <c r="I84" i="39" s="1"/>
  <c r="J84" i="39" s="1"/>
  <c r="Y89" i="39"/>
  <c r="Z89" i="39" s="1"/>
  <c r="H95" i="39"/>
  <c r="I95" i="39" s="1"/>
  <c r="J95" i="39" s="1"/>
  <c r="M198" i="39"/>
  <c r="N198" i="39" s="1"/>
  <c r="H153" i="39"/>
  <c r="I153" i="39" s="1"/>
  <c r="J153" i="39" s="1"/>
  <c r="U198" i="39"/>
  <c r="V198" i="39" s="1"/>
  <c r="Q157" i="39"/>
  <c r="R157" i="39" s="1"/>
  <c r="H187" i="39"/>
  <c r="I187" i="39" s="1"/>
  <c r="J187" i="39" s="1"/>
  <c r="Q89" i="39"/>
  <c r="R89" i="39" s="1"/>
  <c r="U89" i="39"/>
  <c r="V89" i="39" s="1"/>
  <c r="Y153" i="39"/>
  <c r="Z153" i="39" s="1"/>
  <c r="H137" i="39"/>
  <c r="I137" i="39" s="1"/>
  <c r="J137" i="39" s="1"/>
  <c r="Q95" i="39"/>
  <c r="R95" i="39" s="1"/>
  <c r="Y118" i="39"/>
  <c r="Z118" i="39" s="1"/>
  <c r="H118" i="39"/>
  <c r="I118" i="39" s="1"/>
  <c r="J118" i="39" s="1"/>
  <c r="M146" i="39"/>
  <c r="N146" i="39" s="1"/>
  <c r="U85" i="39"/>
  <c r="V85" i="39" s="1"/>
  <c r="Y84" i="39"/>
  <c r="Z84" i="39" s="1"/>
  <c r="H89" i="39"/>
  <c r="I89" i="39" s="1"/>
  <c r="J89" i="39" s="1"/>
  <c r="Q153" i="39"/>
  <c r="R153" i="39" s="1"/>
  <c r="Q137" i="39"/>
  <c r="R137" i="39" s="1"/>
  <c r="Y95" i="39"/>
  <c r="Z95" i="39" s="1"/>
  <c r="Q118" i="39"/>
  <c r="R118" i="39" s="1"/>
  <c r="Y146" i="39"/>
  <c r="Z146" i="39" s="1"/>
  <c r="U153" i="39"/>
  <c r="V153" i="39" s="1"/>
  <c r="Y136" i="39"/>
  <c r="Z136" i="39" s="1"/>
  <c r="M137" i="39"/>
  <c r="N137" i="39" s="1"/>
  <c r="H136" i="39"/>
  <c r="I136" i="39" s="1"/>
  <c r="J136" i="39" s="1"/>
  <c r="Q187" i="39"/>
  <c r="R187" i="39" s="1"/>
  <c r="M187" i="39"/>
  <c r="N187" i="39" s="1"/>
  <c r="H82" i="39"/>
  <c r="I82" i="39" s="1"/>
  <c r="J82" i="39" s="1"/>
  <c r="M204" i="39"/>
  <c r="N204" i="39" s="1"/>
  <c r="Q100" i="39"/>
  <c r="R100" i="39" s="1"/>
  <c r="H191" i="39"/>
  <c r="I191" i="39" s="1"/>
  <c r="J191" i="39" s="1"/>
  <c r="Y126" i="39"/>
  <c r="Z126" i="39" s="1"/>
  <c r="Y127" i="39"/>
  <c r="Z127" i="39" s="1"/>
  <c r="M63" i="39"/>
  <c r="N63" i="39" s="1"/>
  <c r="M174" i="39"/>
  <c r="N174" i="39" s="1"/>
  <c r="H119" i="39"/>
  <c r="I119" i="39" s="1"/>
  <c r="J119" i="39" s="1"/>
  <c r="U132" i="39"/>
  <c r="V132" i="39" s="1"/>
  <c r="H93" i="39"/>
  <c r="I93" i="39" s="1"/>
  <c r="J93" i="39" s="1"/>
  <c r="Q200" i="39"/>
  <c r="R200" i="39" s="1"/>
  <c r="M93" i="39"/>
  <c r="N93" i="39" s="1"/>
  <c r="H200" i="39"/>
  <c r="I200" i="39" s="1"/>
  <c r="J200" i="39" s="1"/>
  <c r="H145" i="39"/>
  <c r="I145" i="39" s="1"/>
  <c r="J145" i="39" s="1"/>
  <c r="H74" i="39"/>
  <c r="I74" i="39" s="1"/>
  <c r="J74" i="39" s="1"/>
  <c r="U93" i="39"/>
  <c r="V93" i="39" s="1"/>
  <c r="Q74" i="39"/>
  <c r="R74" i="39" s="1"/>
  <c r="M200" i="39"/>
  <c r="N200" i="39" s="1"/>
  <c r="U200" i="39"/>
  <c r="V200" i="39" s="1"/>
  <c r="Q204" i="39"/>
  <c r="R204" i="39" s="1"/>
  <c r="Y191" i="39"/>
  <c r="Z191" i="39" s="1"/>
  <c r="M82" i="39"/>
  <c r="N82" i="39" s="1"/>
  <c r="H127" i="39"/>
  <c r="I127" i="39" s="1"/>
  <c r="J127" i="39" s="1"/>
  <c r="M126" i="39"/>
  <c r="N126" i="39" s="1"/>
  <c r="H63" i="39"/>
  <c r="I63" i="39" s="1"/>
  <c r="J63" i="39" s="1"/>
  <c r="Q63" i="39"/>
  <c r="R63" i="39" s="1"/>
  <c r="U126" i="39"/>
  <c r="V126" i="39" s="1"/>
  <c r="H99" i="39"/>
  <c r="I99" i="39" s="1"/>
  <c r="J99" i="39" s="1"/>
  <c r="Y74" i="39"/>
  <c r="Z74" i="39" s="1"/>
  <c r="U99" i="39"/>
  <c r="V99" i="39" s="1"/>
  <c r="Q93" i="39"/>
  <c r="R93" i="39" s="1"/>
  <c r="H80" i="39"/>
  <c r="I80" i="39" s="1"/>
  <c r="J80" i="39" s="1"/>
  <c r="U172" i="39"/>
  <c r="V172" i="39" s="1"/>
  <c r="H109" i="39"/>
  <c r="I109" i="39" s="1"/>
  <c r="J109" i="39" s="1"/>
  <c r="M107" i="39"/>
  <c r="N107" i="39" s="1"/>
  <c r="U186" i="39"/>
  <c r="V186" i="39" s="1"/>
  <c r="H199" i="39"/>
  <c r="I199" i="39" s="1"/>
  <c r="J199" i="39" s="1"/>
  <c r="Y130" i="39"/>
  <c r="Z130" i="39" s="1"/>
  <c r="H184" i="39"/>
  <c r="I184" i="39" s="1"/>
  <c r="J184" i="39" s="1"/>
  <c r="Q202" i="39"/>
  <c r="R202" i="39" s="1"/>
  <c r="Y178" i="39"/>
  <c r="Z178" i="39" s="1"/>
  <c r="Y202" i="39"/>
  <c r="Z202" i="39" s="1"/>
  <c r="Q199" i="39"/>
  <c r="R199" i="39" s="1"/>
  <c r="U151" i="39"/>
  <c r="V151" i="39" s="1"/>
  <c r="U130" i="39"/>
  <c r="V130" i="39" s="1"/>
  <c r="M184" i="39"/>
  <c r="N184" i="39" s="1"/>
  <c r="Q171" i="39"/>
  <c r="R171" i="39" s="1"/>
  <c r="H151" i="39"/>
  <c r="I151" i="39" s="1"/>
  <c r="J151" i="39" s="1"/>
  <c r="H202" i="39"/>
  <c r="I202" i="39" s="1"/>
  <c r="J202" i="39" s="1"/>
  <c r="X62" i="39"/>
  <c r="Y62" i="39" s="1"/>
  <c r="Z62" i="39" s="1"/>
  <c r="M130" i="39"/>
  <c r="N130" i="39" s="1"/>
  <c r="M158" i="39"/>
  <c r="N158" i="39" s="1"/>
  <c r="Q172" i="39"/>
  <c r="R172" i="39" s="1"/>
  <c r="Y107" i="39"/>
  <c r="Z107" i="39" s="1"/>
  <c r="H130" i="39"/>
  <c r="I130" i="39" s="1"/>
  <c r="J130" i="39" s="1"/>
  <c r="Y184" i="39"/>
  <c r="Z184" i="39" s="1"/>
  <c r="H171" i="39"/>
  <c r="I171" i="39" s="1"/>
  <c r="J171" i="39" s="1"/>
  <c r="Q151" i="39"/>
  <c r="R151" i="39" s="1"/>
  <c r="M151" i="39"/>
  <c r="N151" i="39" s="1"/>
  <c r="U178" i="39"/>
  <c r="V178" i="39" s="1"/>
  <c r="U77" i="39"/>
  <c r="V77" i="39" s="1"/>
  <c r="M77" i="39"/>
  <c r="N77" i="39" s="1"/>
  <c r="H112" i="39"/>
  <c r="I112" i="39" s="1"/>
  <c r="J112" i="39" s="1"/>
  <c r="Y115" i="39"/>
  <c r="Z115" i="39" s="1"/>
  <c r="Q115" i="39"/>
  <c r="R115" i="39" s="1"/>
  <c r="Q192" i="39"/>
  <c r="R192" i="39" s="1"/>
  <c r="M192" i="39"/>
  <c r="N192" i="39" s="1"/>
  <c r="Q83" i="39"/>
  <c r="R83" i="39" s="1"/>
  <c r="U192" i="39"/>
  <c r="V192" i="39" s="1"/>
  <c r="M83" i="39"/>
  <c r="N83" i="39" s="1"/>
  <c r="M147" i="39"/>
  <c r="N147" i="39" s="1"/>
  <c r="H147" i="39"/>
  <c r="I147" i="39" s="1"/>
  <c r="J147" i="39" s="1"/>
  <c r="Q147" i="39"/>
  <c r="R147" i="39" s="1"/>
  <c r="Y157" i="39"/>
  <c r="Z157" i="39" s="1"/>
  <c r="H157" i="39"/>
  <c r="I157" i="39" s="1"/>
  <c r="J157" i="39" s="1"/>
  <c r="H117" i="39"/>
  <c r="I117" i="39" s="1"/>
  <c r="J117" i="39" s="1"/>
  <c r="M117" i="39"/>
  <c r="N117" i="39" s="1"/>
  <c r="U180" i="39"/>
  <c r="V180" i="39" s="1"/>
  <c r="Q117" i="39"/>
  <c r="R117" i="39" s="1"/>
  <c r="Y77" i="39"/>
  <c r="Z77" i="39" s="1"/>
  <c r="Y197" i="39"/>
  <c r="Z197" i="39" s="1"/>
  <c r="H156" i="39"/>
  <c r="I156" i="39" s="1"/>
  <c r="J156" i="39" s="1"/>
  <c r="U154" i="39"/>
  <c r="V154" i="39" s="1"/>
  <c r="H197" i="39"/>
  <c r="I197" i="39" s="1"/>
  <c r="J197" i="39" s="1"/>
  <c r="M154" i="39"/>
  <c r="N154" i="39" s="1"/>
  <c r="Q154" i="39"/>
  <c r="R154" i="39" s="1"/>
  <c r="Q197" i="39"/>
  <c r="R197" i="39" s="1"/>
  <c r="Q156" i="39"/>
  <c r="R156" i="39" s="1"/>
  <c r="H77" i="39"/>
  <c r="I77" i="39" s="1"/>
  <c r="J77" i="39" s="1"/>
  <c r="U156" i="39"/>
  <c r="V156" i="39" s="1"/>
  <c r="H134" i="39"/>
  <c r="I134" i="39" s="1"/>
  <c r="J134" i="39" s="1"/>
  <c r="U134" i="39"/>
  <c r="V134" i="39" s="1"/>
  <c r="M161" i="39"/>
  <c r="N161" i="39" s="1"/>
  <c r="Q134" i="39"/>
  <c r="R134" i="39" s="1"/>
  <c r="Q88" i="39"/>
  <c r="R88" i="39" s="1"/>
  <c r="M113" i="39"/>
  <c r="N113" i="39" s="1"/>
  <c r="Q165" i="39"/>
  <c r="R165" i="39" s="1"/>
  <c r="Y165" i="39"/>
  <c r="Z165" i="39" s="1"/>
  <c r="H88" i="39"/>
  <c r="I88" i="39" s="1"/>
  <c r="J88" i="39" s="1"/>
  <c r="Y113" i="39"/>
  <c r="Z113" i="39" s="1"/>
  <c r="M180" i="39"/>
  <c r="N180" i="39" s="1"/>
  <c r="U88" i="39"/>
  <c r="V88" i="39" s="1"/>
  <c r="U165" i="39"/>
  <c r="V165" i="39" s="1"/>
  <c r="H165" i="39"/>
  <c r="I165" i="39" s="1"/>
  <c r="J165" i="39" s="1"/>
  <c r="Q113" i="39"/>
  <c r="R113" i="39" s="1"/>
  <c r="Y180" i="39"/>
  <c r="Z180" i="39" s="1"/>
  <c r="H113" i="39"/>
  <c r="I113" i="39" s="1"/>
  <c r="J113" i="39" s="1"/>
  <c r="Y88" i="39"/>
  <c r="Z88" i="39" s="1"/>
  <c r="M112" i="39"/>
  <c r="N112" i="39" s="1"/>
  <c r="M134" i="39"/>
  <c r="N134" i="39" s="1"/>
  <c r="Q79" i="39"/>
  <c r="R79" i="39" s="1"/>
  <c r="U79" i="39"/>
  <c r="V79" i="39" s="1"/>
  <c r="Q161" i="39"/>
  <c r="R161" i="39" s="1"/>
  <c r="Q112" i="39"/>
  <c r="R112" i="39" s="1"/>
  <c r="Y112" i="39"/>
  <c r="Z112" i="39" s="1"/>
  <c r="Y79" i="39"/>
  <c r="Z79" i="39" s="1"/>
  <c r="Y161" i="39"/>
  <c r="Z161" i="39" s="1"/>
  <c r="H79" i="39"/>
  <c r="I79" i="39" s="1"/>
  <c r="J79" i="39" s="1"/>
  <c r="U71" i="39"/>
  <c r="V71" i="39" s="1"/>
  <c r="H71" i="39"/>
  <c r="I71" i="39" s="1"/>
  <c r="J71" i="39" s="1"/>
  <c r="M71" i="39"/>
  <c r="N71" i="39" s="1"/>
  <c r="Y71" i="39"/>
  <c r="Z71" i="39" s="1"/>
</calcChain>
</file>

<file path=xl/comments1.xml><?xml version="1.0" encoding="utf-8"?>
<comments xmlns="http://schemas.openxmlformats.org/spreadsheetml/2006/main">
  <authors>
    <author>Author</author>
  </authors>
  <commentList>
    <comment ref="B5" authorId="0">
      <text>
        <r>
          <rPr>
            <b/>
            <sz val="12"/>
            <color indexed="81"/>
            <rFont val="Tahoma"/>
            <family val="2"/>
          </rPr>
          <t>Author:</t>
        </r>
        <r>
          <rPr>
            <sz val="12"/>
            <color indexed="81"/>
            <rFont val="Tahoma"/>
            <family val="2"/>
          </rPr>
          <t xml:space="preserve">
Voltage drop cause by bridge/Req/Rds/Rcs…etc.</t>
        </r>
      </text>
    </comment>
    <comment ref="C5" authorId="0">
      <text>
        <r>
          <rPr>
            <b/>
            <sz val="12"/>
            <color indexed="81"/>
            <rFont val="Tahoma"/>
            <family val="2"/>
          </rPr>
          <t>Author:</t>
        </r>
        <r>
          <rPr>
            <sz val="12"/>
            <color indexed="81"/>
            <rFont val="Tahoma"/>
            <family val="2"/>
          </rPr>
          <t xml:space="preserve">
Actual magnetization voltage on primary side Lm</t>
        </r>
      </text>
    </comment>
    <comment ref="E5" authorId="0">
      <text>
        <r>
          <rPr>
            <b/>
            <sz val="12"/>
            <color indexed="81"/>
            <rFont val="Tahoma"/>
            <family val="2"/>
          </rPr>
          <t>Author:</t>
        </r>
        <r>
          <rPr>
            <sz val="12"/>
            <color indexed="81"/>
            <rFont val="Tahoma"/>
            <family val="2"/>
          </rPr>
          <t xml:space="preserve">
Secondary side forward voltage</t>
        </r>
      </text>
    </comment>
    <comment ref="F5" authorId="0">
      <text>
        <r>
          <rPr>
            <b/>
            <sz val="12"/>
            <color indexed="81"/>
            <rFont val="Tahoma"/>
            <family val="2"/>
          </rPr>
          <t>Author:</t>
        </r>
        <r>
          <rPr>
            <sz val="12"/>
            <color indexed="81"/>
            <rFont val="Tahoma"/>
            <family val="2"/>
          </rPr>
          <t xml:space="preserve">
Actual demagnetization voltage on secondary side Ls</t>
        </r>
      </text>
    </comment>
    <comment ref="E12" authorId="0">
      <text>
        <r>
          <rPr>
            <b/>
            <sz val="9"/>
            <color indexed="81"/>
            <rFont val="Tahoma"/>
            <family val="2"/>
          </rPr>
          <t>Author:</t>
        </r>
        <r>
          <rPr>
            <sz val="9"/>
            <color indexed="81"/>
            <rFont val="Tahoma"/>
            <family val="2"/>
          </rPr>
          <t xml:space="preserve">
TB0=TB1-TB01</t>
        </r>
      </text>
    </comment>
    <comment ref="H12" authorId="0">
      <text>
        <r>
          <rPr>
            <b/>
            <sz val="9"/>
            <color indexed="81"/>
            <rFont val="Tahoma"/>
            <family val="2"/>
          </rPr>
          <t>Author:</t>
        </r>
        <r>
          <rPr>
            <sz val="9"/>
            <color indexed="81"/>
            <rFont val="Tahoma"/>
            <family val="2"/>
          </rPr>
          <t xml:space="preserve">
TB1max=αTB1min
</t>
        </r>
      </text>
    </comment>
    <comment ref="C15" authorId="0">
      <text>
        <r>
          <rPr>
            <b/>
            <sz val="9"/>
            <color indexed="81"/>
            <rFont val="Tahoma"/>
            <family val="2"/>
          </rPr>
          <t>Author:</t>
        </r>
        <r>
          <rPr>
            <sz val="9"/>
            <color indexed="81"/>
            <rFont val="Tahoma"/>
            <family val="2"/>
          </rPr>
          <t xml:space="preserve">
Force on divided FB</t>
        </r>
      </text>
    </comment>
    <comment ref="F15" authorId="0">
      <text>
        <r>
          <rPr>
            <b/>
            <sz val="9"/>
            <color indexed="81"/>
            <rFont val="Tahoma"/>
            <family val="2"/>
          </rPr>
          <t>Author:</t>
        </r>
        <r>
          <rPr>
            <sz val="9"/>
            <color indexed="81"/>
            <rFont val="Tahoma"/>
            <family val="2"/>
          </rPr>
          <t xml:space="preserve">
Delay time from cslimit trigger to MOS turn off</t>
        </r>
      </text>
    </comment>
    <comment ref="D18" authorId="0">
      <text>
        <r>
          <rPr>
            <b/>
            <sz val="9"/>
            <color indexed="81"/>
            <rFont val="Tahoma"/>
            <family val="2"/>
          </rPr>
          <t>Author:</t>
        </r>
        <r>
          <rPr>
            <sz val="9"/>
            <color indexed="81"/>
            <rFont val="Tahoma"/>
            <family val="2"/>
          </rPr>
          <t xml:space="preserve">
Mslope=Maxcomp/(Tend-Tstart)</t>
        </r>
      </text>
    </comment>
    <comment ref="C21" authorId="0">
      <text>
        <r>
          <rPr>
            <b/>
            <sz val="9"/>
            <color indexed="81"/>
            <rFont val="Tahoma"/>
            <family val="2"/>
          </rPr>
          <t>Author:</t>
        </r>
        <r>
          <rPr>
            <sz val="9"/>
            <color indexed="81"/>
            <rFont val="Tahoma"/>
            <family val="2"/>
          </rPr>
          <t xml:space="preserve">
Ilinecs=Vin*Na/(Rdmga*Np)
</t>
        </r>
      </text>
    </comment>
    <comment ref="E21" authorId="0">
      <text>
        <r>
          <rPr>
            <b/>
            <sz val="9"/>
            <color indexed="81"/>
            <rFont val="Tahoma"/>
            <family val="2"/>
          </rPr>
          <t>Author:</t>
        </r>
        <r>
          <rPr>
            <sz val="9"/>
            <color indexed="81"/>
            <rFont val="Tahoma"/>
            <family val="2"/>
          </rPr>
          <t xml:space="preserve">
Vlinecs=Ilinecs*β*Rcsin</t>
        </r>
      </text>
    </comment>
    <comment ref="C60" authorId="0">
      <text>
        <r>
          <rPr>
            <b/>
            <sz val="9"/>
            <color indexed="81"/>
            <rFont val="Tahoma"/>
            <family val="2"/>
          </rPr>
          <t>Author:</t>
        </r>
        <r>
          <rPr>
            <sz val="9"/>
            <color indexed="81"/>
            <rFont val="Tahoma"/>
            <family val="2"/>
          </rPr>
          <t xml:space="preserve">
If 1.25&lt;VFB&lt;2.1
TB0=TB0min{</t>
        </r>
        <r>
          <rPr>
            <sz val="9"/>
            <color indexed="81"/>
            <rFont val="新細明體"/>
            <family val="1"/>
            <charset val="136"/>
          </rPr>
          <t>α</t>
        </r>
        <r>
          <rPr>
            <sz val="9"/>
            <color indexed="81"/>
            <rFont val="Tahoma"/>
            <family val="2"/>
          </rPr>
          <t>-[(VFB-VFB1)*(α-1)/(VFB2-VFB1)]}</t>
        </r>
      </text>
    </comment>
    <comment ref="F61" authorId="0">
      <text>
        <r>
          <rPr>
            <b/>
            <sz val="9"/>
            <color indexed="81"/>
            <rFont val="Tahoma"/>
            <family val="2"/>
          </rPr>
          <t>Author:</t>
        </r>
        <r>
          <rPr>
            <sz val="9"/>
            <color indexed="81"/>
            <rFont val="Tahoma"/>
            <family val="2"/>
          </rPr>
          <t xml:space="preserve">
Po = (1/2) x Ipk^2 x Lm x Freq</t>
        </r>
      </text>
    </comment>
    <comment ref="A204" authorId="0">
      <text>
        <r>
          <rPr>
            <b/>
            <sz val="9"/>
            <color indexed="81"/>
            <rFont val="Tahoma"/>
            <family val="2"/>
          </rPr>
          <t>Author:</t>
        </r>
        <r>
          <rPr>
            <sz val="9"/>
            <color indexed="81"/>
            <rFont val="Tahoma"/>
            <family val="2"/>
          </rPr>
          <t xml:space="preserve">
Vcs Current, 
OLP with 64ms deglitch</t>
        </r>
      </text>
    </comment>
    <comment ref="C212" authorId="0">
      <text>
        <r>
          <rPr>
            <b/>
            <sz val="9"/>
            <color indexed="81"/>
            <rFont val="Tahoma"/>
            <family val="2"/>
          </rPr>
          <t>Author:</t>
        </r>
        <r>
          <rPr>
            <sz val="9"/>
            <color indexed="81"/>
            <rFont val="Tahoma"/>
            <family val="2"/>
          </rPr>
          <t xml:space="preserve">
If 1.25&lt;VFB&lt;2.1
TB0=TB0min{</t>
        </r>
        <r>
          <rPr>
            <sz val="9"/>
            <color indexed="81"/>
            <rFont val="新細明體"/>
            <family val="1"/>
            <charset val="136"/>
          </rPr>
          <t>α</t>
        </r>
        <r>
          <rPr>
            <sz val="9"/>
            <color indexed="81"/>
            <rFont val="Tahoma"/>
            <family val="2"/>
          </rPr>
          <t>-[(VFB-VFB1)*(α-1)/(VFB2-VFB1)]}</t>
        </r>
      </text>
    </comment>
    <comment ref="F213" authorId="0">
      <text>
        <r>
          <rPr>
            <b/>
            <sz val="9"/>
            <color indexed="81"/>
            <rFont val="Tahoma"/>
            <family val="2"/>
          </rPr>
          <t>Author:</t>
        </r>
        <r>
          <rPr>
            <sz val="9"/>
            <color indexed="81"/>
            <rFont val="Tahoma"/>
            <family val="2"/>
          </rPr>
          <t xml:space="preserve">
Po = (1/2) x Ipk^2 x Lm x Freq</t>
        </r>
      </text>
    </comment>
  </commentList>
</comments>
</file>

<file path=xl/sharedStrings.xml><?xml version="1.0" encoding="utf-8"?>
<sst xmlns="http://schemas.openxmlformats.org/spreadsheetml/2006/main" count="702" uniqueCount="439">
  <si>
    <t>Vin(Vac)</t>
    <phoneticPr fontId="1" type="noConversion"/>
  </si>
  <si>
    <t>Vin(V)</t>
    <phoneticPr fontId="1" type="noConversion"/>
  </si>
  <si>
    <t>SPEC</t>
    <phoneticPr fontId="1" type="noConversion"/>
  </si>
  <si>
    <t>Upper Bound
(kHz)</t>
    <phoneticPr fontId="1" type="noConversion"/>
  </si>
  <si>
    <t>VFB
(V)</t>
    <phoneticPr fontId="1" type="noConversion"/>
  </si>
  <si>
    <t>SYS Parameter</t>
    <phoneticPr fontId="1" type="noConversion"/>
  </si>
  <si>
    <t>Np</t>
    <phoneticPr fontId="1" type="noConversion"/>
  </si>
  <si>
    <t>TB1 &amp; TB2 &amp; Tdead &amp; Fsw,min</t>
    <phoneticPr fontId="1" type="noConversion"/>
  </si>
  <si>
    <t>Ns</t>
    <phoneticPr fontId="1" type="noConversion"/>
  </si>
  <si>
    <t>FB &amp; CS Parameter</t>
    <phoneticPr fontId="1" type="noConversion"/>
  </si>
  <si>
    <t>CS Slope Compensation</t>
    <phoneticPr fontId="1" type="noConversion"/>
  </si>
  <si>
    <t>CS Line Compensation</t>
    <phoneticPr fontId="1" type="noConversion"/>
  </si>
  <si>
    <t>Ilinecs(uA)</t>
    <phoneticPr fontId="1" type="noConversion"/>
  </si>
  <si>
    <t>VFB divider</t>
    <phoneticPr fontId="1" type="noConversion"/>
  </si>
  <si>
    <t>1/TB1min
(kHz)</t>
    <phoneticPr fontId="1" type="noConversion"/>
  </si>
  <si>
    <t>TB1min
(us)</t>
    <phoneticPr fontId="1" type="noConversion"/>
  </si>
  <si>
    <t>Fsw,min
(kHz)</t>
    <phoneticPr fontId="1" type="noConversion"/>
  </si>
  <si>
    <t>Lpri
(uH)</t>
    <phoneticPr fontId="1" type="noConversion"/>
  </si>
  <si>
    <t>Rcsin
(kΩ)</t>
    <phoneticPr fontId="1" type="noConversion"/>
  </si>
  <si>
    <t>Tres
(us)</t>
    <phoneticPr fontId="1" type="noConversion"/>
  </si>
  <si>
    <t>Vin
(Vac)</t>
    <phoneticPr fontId="1" type="noConversion"/>
  </si>
  <si>
    <t>Vout
(V)</t>
    <phoneticPr fontId="1" type="noConversion"/>
  </si>
  <si>
    <t>Tstart
(us)</t>
    <phoneticPr fontId="1" type="noConversion"/>
  </si>
  <si>
    <t>Tend
(us)</t>
    <phoneticPr fontId="1" type="noConversion"/>
  </si>
  <si>
    <t>Max comp
(mV)</t>
    <phoneticPr fontId="1" type="noConversion"/>
  </si>
  <si>
    <t>Mslope
(mV/us)</t>
    <phoneticPr fontId="1" type="noConversion"/>
  </si>
  <si>
    <t>TB1
(usec)</t>
    <phoneticPr fontId="1" type="noConversion"/>
  </si>
  <si>
    <t>Ipk
(A)</t>
    <phoneticPr fontId="1" type="noConversion"/>
  </si>
  <si>
    <t>Vlinecs(V)</t>
    <phoneticPr fontId="1" type="noConversion"/>
  </si>
  <si>
    <t>I_Cspin (uA)</t>
  </si>
  <si>
    <t>TB01
(us)</t>
    <phoneticPr fontId="1" type="noConversion"/>
  </si>
  <si>
    <t>TB0min
(us)</t>
    <phoneticPr fontId="1" type="noConversion"/>
  </si>
  <si>
    <t>TB0max
(us)</t>
    <phoneticPr fontId="1" type="noConversion"/>
  </si>
  <si>
    <t>TB0
(usec)</t>
    <phoneticPr fontId="1" type="noConversion"/>
  </si>
  <si>
    <t>α</t>
    <phoneticPr fontId="1" type="noConversion"/>
  </si>
  <si>
    <t>130kHz</t>
    <phoneticPr fontId="1" type="noConversion"/>
  </si>
  <si>
    <t>VFB1</t>
    <phoneticPr fontId="1" type="noConversion"/>
  </si>
  <si>
    <t>VFB2</t>
    <phoneticPr fontId="1" type="noConversion"/>
  </si>
  <si>
    <t>TB1min</t>
    <phoneticPr fontId="1" type="noConversion"/>
  </si>
  <si>
    <t>TB01</t>
    <phoneticPr fontId="1" type="noConversion"/>
  </si>
  <si>
    <t>TB2</t>
    <phoneticPr fontId="1" type="noConversion"/>
  </si>
  <si>
    <t>Tdead</t>
    <phoneticPr fontId="1" type="noConversion"/>
  </si>
  <si>
    <t>Fswmin</t>
    <phoneticPr fontId="1" type="noConversion"/>
  </si>
  <si>
    <t>VFBOLP</t>
    <phoneticPr fontId="1" type="noConversion"/>
  </si>
  <si>
    <t>Vcslimit</t>
    <phoneticPr fontId="1" type="noConversion"/>
  </si>
  <si>
    <t>Jitter</t>
    <phoneticPr fontId="1" type="noConversion"/>
  </si>
  <si>
    <t>60~120mV, 250Hz</t>
    <phoneticPr fontId="1" type="noConversion"/>
  </si>
  <si>
    <t>V</t>
    <phoneticPr fontId="1" type="noConversion"/>
  </si>
  <si>
    <t>us</t>
    <phoneticPr fontId="1" type="noConversion"/>
  </si>
  <si>
    <t>kHz</t>
    <phoneticPr fontId="1" type="noConversion"/>
  </si>
  <si>
    <t>α</t>
    <phoneticPr fontId="1" type="noConversion"/>
  </si>
  <si>
    <t>TB0max=αTB0min</t>
    <phoneticPr fontId="1" type="noConversion"/>
  </si>
  <si>
    <t>Version</t>
    <phoneticPr fontId="1" type="noConversion"/>
  </si>
  <si>
    <t>Unit</t>
    <phoneticPr fontId="1" type="noConversion"/>
  </si>
  <si>
    <t>Tonmin</t>
    <phoneticPr fontId="1" type="noConversion"/>
  </si>
  <si>
    <t>Tonmax</t>
    <phoneticPr fontId="1" type="noConversion"/>
  </si>
  <si>
    <t>IBNI</t>
    <phoneticPr fontId="1" type="noConversion"/>
  </si>
  <si>
    <t>IBNO</t>
    <phoneticPr fontId="1" type="noConversion"/>
  </si>
  <si>
    <t>uA</t>
    <phoneticPr fontId="1" type="noConversion"/>
  </si>
  <si>
    <t>Symbol</t>
    <phoneticPr fontId="1" type="noConversion"/>
  </si>
  <si>
    <t>PWM &amp; Oscillator</t>
    <phoneticPr fontId="1" type="noConversion"/>
  </si>
  <si>
    <t>Threshold for Entering Burst Mode</t>
    <phoneticPr fontId="1" type="noConversion"/>
  </si>
  <si>
    <t>FB Pin</t>
    <phoneticPr fontId="1" type="noConversion"/>
  </si>
  <si>
    <t>DEM Pin</t>
    <phoneticPr fontId="1" type="noConversion"/>
  </si>
  <si>
    <t>CS Pin</t>
    <phoneticPr fontId="1" type="noConversion"/>
  </si>
  <si>
    <t>Maximum SENSE Voltage</t>
    <phoneticPr fontId="1" type="noConversion"/>
  </si>
  <si>
    <t>TLEB</t>
    <phoneticPr fontId="1" type="noConversion"/>
  </si>
  <si>
    <t>mS</t>
    <phoneticPr fontId="1" type="noConversion"/>
  </si>
  <si>
    <t>Threshold for Exiting Burst Mode</t>
    <phoneticPr fontId="1" type="noConversion"/>
  </si>
  <si>
    <t>1/6</t>
    <phoneticPr fontId="1" type="noConversion"/>
  </si>
  <si>
    <t>Parameters</t>
  </si>
  <si>
    <t>Symbol</t>
  </si>
  <si>
    <t>Lm</t>
  </si>
  <si>
    <t>Transformer Turn Ratio (NP/NS)</t>
  </si>
  <si>
    <t>N</t>
  </si>
  <si>
    <t>---</t>
  </si>
  <si>
    <t>Current Sensing Resistor</t>
  </si>
  <si>
    <r>
      <t>R</t>
    </r>
    <r>
      <rPr>
        <vertAlign val="subscript"/>
        <sz val="11"/>
        <color theme="1"/>
        <rFont val="Calibri"/>
        <family val="2"/>
        <scheme val="minor"/>
      </rPr>
      <t>CS</t>
    </r>
  </si>
  <si>
    <t>Demg resistor divider (upper)</t>
  </si>
  <si>
    <t>Demg resistor divider (lower)</t>
  </si>
  <si>
    <t>Minimum Switching Frequency</t>
    <phoneticPr fontId="1" type="noConversion"/>
  </si>
  <si>
    <t>Dead Time Between H/L Side Gate Drive</t>
    <phoneticPr fontId="1" type="noConversion"/>
  </si>
  <si>
    <t>Minimum Low Side Gate On Time</t>
    <phoneticPr fontId="1" type="noConversion"/>
  </si>
  <si>
    <t>Maximum Low Side Gate On Time</t>
    <phoneticPr fontId="1" type="noConversion"/>
  </si>
  <si>
    <t>nS</t>
    <phoneticPr fontId="1" type="noConversion"/>
  </si>
  <si>
    <t>VSOVP</t>
    <phoneticPr fontId="1" type="noConversion"/>
  </si>
  <si>
    <t>VSUVP</t>
    <phoneticPr fontId="1" type="noConversion"/>
  </si>
  <si>
    <t>Secondary UVP Threshold</t>
    <phoneticPr fontId="1" type="noConversion"/>
  </si>
  <si>
    <t>K</t>
    <phoneticPr fontId="1" type="noConversion"/>
  </si>
  <si>
    <t>Minimum TB1</t>
    <phoneticPr fontId="1" type="noConversion"/>
  </si>
  <si>
    <t>Over Load Protection</t>
    <phoneticPr fontId="1" type="noConversion"/>
  </si>
  <si>
    <t>VBurst</t>
    <phoneticPr fontId="1" type="noConversion"/>
  </si>
  <si>
    <t>Vburstex</t>
    <phoneticPr fontId="1" type="noConversion"/>
  </si>
  <si>
    <t>Tss</t>
    <phoneticPr fontId="1" type="noConversion"/>
  </si>
  <si>
    <t>Brown In Reference</t>
    <phoneticPr fontId="1" type="noConversion"/>
  </si>
  <si>
    <t>Brown Out Reference</t>
    <phoneticPr fontId="1" type="noConversion"/>
  </si>
  <si>
    <t>Blanking Time (Minimum Low Side Gate On Time)</t>
    <phoneticPr fontId="1" type="noConversion"/>
  </si>
  <si>
    <t>Parameters</t>
    <phoneticPr fontId="1" type="noConversion"/>
  </si>
  <si>
    <t>IF VFB&gt;VFB1, TB1 Increase</t>
    <phoneticPr fontId="1" type="noConversion"/>
  </si>
  <si>
    <t>IF VFB&gt;VFB2, TB1 Stop Increasing</t>
    <phoneticPr fontId="1" type="noConversion"/>
  </si>
  <si>
    <t xml:space="preserve">TB0 to TB1 Delay Time </t>
    <phoneticPr fontId="1" type="noConversion"/>
  </si>
  <si>
    <t>The Ratio of FB Voltage to Current Sense Voltage</t>
    <phoneticPr fontId="1" type="noConversion"/>
  </si>
  <si>
    <t>Soft Start Time</t>
    <phoneticPr fontId="1" type="noConversion"/>
  </si>
  <si>
    <t>Peak Detect</t>
    <phoneticPr fontId="1" type="noConversion"/>
  </si>
  <si>
    <t>Zero Detect</t>
    <phoneticPr fontId="1" type="noConversion"/>
  </si>
  <si>
    <t>DEM Pin Zero Detect Trigger Thershold</t>
    <phoneticPr fontId="1" type="noConversion"/>
  </si>
  <si>
    <t>TZP</t>
    <phoneticPr fontId="1" type="noConversion"/>
  </si>
  <si>
    <t>Timer from Zero to Peak</t>
    <phoneticPr fontId="1" type="noConversion"/>
  </si>
  <si>
    <t>β</t>
    <phoneticPr fontId="1" type="noConversion"/>
  </si>
  <si>
    <t>β</t>
    <phoneticPr fontId="1" type="noConversion"/>
  </si>
  <si>
    <t>Line compensation ratio</t>
    <phoneticPr fontId="1" type="noConversion"/>
  </si>
  <si>
    <t>1/K</t>
    <phoneticPr fontId="1" type="noConversion"/>
  </si>
  <si>
    <t>Tblank</t>
    <phoneticPr fontId="1" type="noConversion"/>
  </si>
  <si>
    <t xml:space="preserve">Sampling Blanking time after  Low Side Gate on </t>
    <phoneticPr fontId="1" type="noConversion"/>
  </si>
  <si>
    <t>uS</t>
    <phoneticPr fontId="1" type="noConversion"/>
  </si>
  <si>
    <t>Tpon Coefficient</t>
    <phoneticPr fontId="1" type="noConversion"/>
  </si>
  <si>
    <t>RDEMa
(kΩ)</t>
    <phoneticPr fontId="1" type="noConversion"/>
  </si>
  <si>
    <t>RDEMb
(kΩ)</t>
    <phoneticPr fontId="1" type="noConversion"/>
  </si>
  <si>
    <t>VBNI
(Vac)</t>
    <phoneticPr fontId="1" type="noConversion"/>
  </si>
  <si>
    <t>us</t>
    <phoneticPr fontId="1" type="noConversion"/>
  </si>
  <si>
    <t>A1</t>
    <phoneticPr fontId="1" type="noConversion"/>
  </si>
  <si>
    <t>A2</t>
    <phoneticPr fontId="1" type="noConversion"/>
  </si>
  <si>
    <t>Vdrop
(V)</t>
    <phoneticPr fontId="1" type="noConversion"/>
  </si>
  <si>
    <t>VLs
(V)</t>
    <phoneticPr fontId="1" type="noConversion"/>
  </si>
  <si>
    <t>Tcsldelay
(us)</t>
    <phoneticPr fontId="1" type="noConversion"/>
  </si>
  <si>
    <t>VFBolp
(V)</t>
    <phoneticPr fontId="1" type="noConversion"/>
  </si>
  <si>
    <t>Vcslimit
(V)</t>
    <phoneticPr fontId="1" type="noConversion"/>
  </si>
  <si>
    <t>NP</t>
  </si>
  <si>
    <t>Bm</t>
  </si>
  <si>
    <t>Ae</t>
  </si>
  <si>
    <t>V</t>
  </si>
  <si>
    <t>Naux</t>
  </si>
  <si>
    <t>Value</t>
  </si>
  <si>
    <t>Unit</t>
  </si>
  <si>
    <t>Remark</t>
  </si>
  <si>
    <t>Vac</t>
  </si>
  <si>
    <t>Hz</t>
  </si>
  <si>
    <t>KHz</t>
  </si>
  <si>
    <t>Io</t>
  </si>
  <si>
    <t>A</t>
  </si>
  <si>
    <t>SR Voltage Stress</t>
  </si>
  <si>
    <t>Vds_SR</t>
  </si>
  <si>
    <t>VOR</t>
  </si>
  <si>
    <t>Target Turn Ratio</t>
  </si>
  <si>
    <t>N, NP/NS</t>
  </si>
  <si>
    <t>Ratio</t>
  </si>
  <si>
    <t>us</t>
  </si>
  <si>
    <t xml:space="preserve">At 230Vac, maximu output. 
1us to 2us recommended. </t>
  </si>
  <si>
    <t>Dead Time and Reset Time</t>
  </si>
  <si>
    <t>Td</t>
  </si>
  <si>
    <t>Ipk_sec</t>
  </si>
  <si>
    <t>Ipk_pri</t>
  </si>
  <si>
    <t>Primary Side Inductance</t>
  </si>
  <si>
    <t>uH</t>
  </si>
  <si>
    <t>Vbulk</t>
  </si>
  <si>
    <t>Tolerance of Bulk Cap</t>
  </si>
  <si>
    <t>%</t>
  </si>
  <si>
    <t>Reqired Capastance of Bulk Cap</t>
  </si>
  <si>
    <t>uF</t>
  </si>
  <si>
    <t>Tpre</t>
  </si>
  <si>
    <t>Ispk</t>
  </si>
  <si>
    <t>Ippk</t>
  </si>
  <si>
    <t>Current Sensing Resister</t>
  </si>
  <si>
    <t>Rcs</t>
  </si>
  <si>
    <t>Transformer</t>
  </si>
  <si>
    <t>Sectional Area of Core</t>
  </si>
  <si>
    <t>Maximum Flux Density, mT</t>
  </si>
  <si>
    <t>mT</t>
  </si>
  <si>
    <t>Desired Turns of NP</t>
  </si>
  <si>
    <t>Turns</t>
  </si>
  <si>
    <t>Turns of NP</t>
  </si>
  <si>
    <t>Recommended Turns of NS</t>
  </si>
  <si>
    <t>NS</t>
  </si>
  <si>
    <t>Pout</t>
  </si>
  <si>
    <t>W</t>
  </si>
  <si>
    <t>Pin</t>
  </si>
  <si>
    <t>Vline, min</t>
  </si>
  <si>
    <t>fline, min</t>
  </si>
  <si>
    <t>Vbulk, min</t>
  </si>
  <si>
    <t>Vbulk_peak, min</t>
  </si>
  <si>
    <t>Vbulk_ripple</t>
  </si>
  <si>
    <t>Tdischarg</t>
  </si>
  <si>
    <t>ms</t>
  </si>
  <si>
    <t>Tcharge</t>
  </si>
  <si>
    <t>Cbulk, min</t>
  </si>
  <si>
    <t>Target Turn Ratio, NP/NS</t>
  </si>
  <si>
    <t>Turn Ratio</t>
  </si>
  <si>
    <t>Vo_max (NP/NS)</t>
  </si>
  <si>
    <t>Maxmum Reflex Voltage</t>
  </si>
  <si>
    <t>Rdema</t>
  </si>
  <si>
    <t>Rdemb</t>
  </si>
  <si>
    <t>KΩ</t>
  </si>
  <si>
    <t>Secondary OVP Threshold</t>
  </si>
  <si>
    <t>Secondary UVP Threshold</t>
  </si>
  <si>
    <t>OVP</t>
  </si>
  <si>
    <t>UVP</t>
  </si>
  <si>
    <t>DEM Pin Resister Divider</t>
  </si>
  <si>
    <t xml:space="preserve">CS Pin Filter </t>
  </si>
  <si>
    <t>Filter Resister</t>
  </si>
  <si>
    <t>Filter Capacitor</t>
  </si>
  <si>
    <t>Maximum Output Voltage, V</t>
  </si>
  <si>
    <t>Minimum Output Voltage, V</t>
  </si>
  <si>
    <t>Vo_max</t>
  </si>
  <si>
    <t>Vo_min</t>
  </si>
  <si>
    <t>Maximum Input Voltage, VRMS</t>
  </si>
  <si>
    <t>Minimum Input Voltage, VRMS</t>
  </si>
  <si>
    <t>Vin_max</t>
  </si>
  <si>
    <t>Vin_min</t>
  </si>
  <si>
    <t>Minimum Input Frequency</t>
  </si>
  <si>
    <t>Minimum Bulk Cap Voltage (desired)</t>
  </si>
  <si>
    <t>pF</t>
  </si>
  <si>
    <t>System Requirement</t>
  </si>
  <si>
    <t>Pri. Current Limit
(A)</t>
  </si>
  <si>
    <r>
      <t xml:space="preserve">Duty Cycle  </t>
    </r>
    <r>
      <rPr>
        <sz val="9"/>
        <color theme="1"/>
        <rFont val="Calibri"/>
        <family val="2"/>
        <scheme val="minor"/>
      </rPr>
      <t xml:space="preserve">
@minimum Vbulk</t>
    </r>
  </si>
  <si>
    <r>
      <t>Dis-Conduction Time</t>
    </r>
    <r>
      <rPr>
        <sz val="9"/>
        <color theme="1"/>
        <rFont val="Calibri"/>
        <family val="2"/>
        <scheme val="minor"/>
      </rPr>
      <t xml:space="preserve">
@minimum Vbulk</t>
    </r>
  </si>
  <si>
    <r>
      <t>Secondary Side Peak Current</t>
    </r>
    <r>
      <rPr>
        <sz val="9"/>
        <color theme="1"/>
        <rFont val="Calibri"/>
        <family val="2"/>
        <scheme val="minor"/>
      </rPr>
      <t xml:space="preserve">
@ minimum Vbulk Full Load, A</t>
    </r>
  </si>
  <si>
    <r>
      <t>Primary Side Peak Current</t>
    </r>
    <r>
      <rPr>
        <sz val="9"/>
        <color theme="1"/>
        <rFont val="Calibri"/>
        <family val="2"/>
        <scheme val="minor"/>
      </rPr>
      <t xml:space="preserve">
@ minimum Vbulk Full Load, A</t>
    </r>
  </si>
  <si>
    <r>
      <t>NMOS On Time</t>
    </r>
    <r>
      <rPr>
        <sz val="9"/>
        <color theme="1"/>
        <rFont val="Calibri"/>
        <family val="2"/>
        <scheme val="minor"/>
      </rPr>
      <t xml:space="preserve">
@minimum Vbulk</t>
    </r>
  </si>
  <si>
    <r>
      <t>Secondary Side Conduction Time</t>
    </r>
    <r>
      <rPr>
        <sz val="9"/>
        <color theme="1"/>
        <rFont val="Calibri"/>
        <family val="2"/>
        <scheme val="minor"/>
      </rPr>
      <t xml:space="preserve">
@minimum Vbulk</t>
    </r>
  </si>
  <si>
    <r>
      <t>Conduction Time</t>
    </r>
    <r>
      <rPr>
        <sz val="9"/>
        <color theme="1"/>
        <rFont val="Calibri"/>
        <family val="2"/>
        <scheme val="minor"/>
      </rPr>
      <t xml:space="preserve">
@minimum Vbulk</t>
    </r>
  </si>
  <si>
    <t>Bulk Cap</t>
  </si>
  <si>
    <r>
      <t>IDEMG</t>
    </r>
    <r>
      <rPr>
        <b/>
        <vertAlign val="subscript"/>
        <sz val="12"/>
        <color theme="1"/>
        <rFont val="Calibri"/>
        <family val="2"/>
        <scheme val="minor"/>
      </rPr>
      <t>LINE</t>
    </r>
    <r>
      <rPr>
        <b/>
        <sz val="12"/>
        <color theme="1"/>
        <rFont val="Calibri"/>
        <family val="2"/>
        <scheme val="minor"/>
      </rPr>
      <t xml:space="preserve">
(uA)</t>
    </r>
  </si>
  <si>
    <r>
      <t>VDEMG</t>
    </r>
    <r>
      <rPr>
        <b/>
        <vertAlign val="subscript"/>
        <sz val="12"/>
        <color theme="1"/>
        <rFont val="Calibri"/>
        <family val="2"/>
        <scheme val="minor"/>
      </rPr>
      <t xml:space="preserve">VOUT
</t>
    </r>
    <r>
      <rPr>
        <b/>
        <sz val="12"/>
        <color theme="1"/>
        <rFont val="Calibri"/>
        <family val="2"/>
        <scheme val="minor"/>
      </rPr>
      <t>(V)</t>
    </r>
  </si>
  <si>
    <t>Protection</t>
  </si>
  <si>
    <t>Item</t>
  </si>
  <si>
    <t>Trigger Condition</t>
  </si>
  <si>
    <t>Behavior and Debounce Time</t>
  </si>
  <si>
    <t>UVLO On</t>
  </si>
  <si>
    <r>
      <t xml:space="preserve">VCC </t>
    </r>
    <r>
      <rPr>
        <sz val="12"/>
        <color theme="1"/>
        <rFont val="Calibri"/>
        <family val="2"/>
      </rPr>
      <t>≥ 15.5 V</t>
    </r>
  </si>
  <si>
    <t>Enable the Controller</t>
  </si>
  <si>
    <t>UVLO Off</t>
  </si>
  <si>
    <r>
      <t xml:space="preserve">VCC </t>
    </r>
    <r>
      <rPr>
        <sz val="12"/>
        <color theme="1"/>
        <rFont val="Calibri"/>
        <family val="2"/>
      </rPr>
      <t>≤ 6.5 V</t>
    </r>
  </si>
  <si>
    <t>Disable the Controller</t>
  </si>
  <si>
    <t>BKOVP</t>
  </si>
  <si>
    <r>
      <t>I</t>
    </r>
    <r>
      <rPr>
        <vertAlign val="subscript"/>
        <sz val="12"/>
        <color theme="1"/>
        <rFont val="Calibri"/>
        <family val="2"/>
        <scheme val="minor"/>
      </rPr>
      <t>DMG</t>
    </r>
    <r>
      <rPr>
        <sz val="12"/>
        <color theme="1"/>
        <rFont val="Calibri"/>
        <family val="2"/>
        <scheme val="minor"/>
      </rPr>
      <t xml:space="preserve"> ≥ 680 uA</t>
    </r>
  </si>
  <si>
    <t>Lock after 7 Switching Cycle</t>
  </si>
  <si>
    <t>SOVP</t>
  </si>
  <si>
    <r>
      <t>V</t>
    </r>
    <r>
      <rPr>
        <vertAlign val="subscript"/>
        <sz val="12"/>
        <color theme="1"/>
        <rFont val="Calibri"/>
        <family val="2"/>
        <scheme val="minor"/>
      </rPr>
      <t>DMG</t>
    </r>
    <r>
      <rPr>
        <sz val="12"/>
        <color theme="1"/>
        <rFont val="Calibri"/>
        <family val="2"/>
        <scheme val="minor"/>
      </rPr>
      <t xml:space="preserve"> ≥ 3.2 V</t>
    </r>
  </si>
  <si>
    <t>SUVP</t>
  </si>
  <si>
    <r>
      <t>V</t>
    </r>
    <r>
      <rPr>
        <vertAlign val="subscript"/>
        <sz val="12"/>
        <color theme="1"/>
        <rFont val="Calibri"/>
        <family val="2"/>
        <scheme val="minor"/>
      </rPr>
      <t>DMG</t>
    </r>
    <r>
      <rPr>
        <sz val="12"/>
        <color theme="1"/>
        <rFont val="Calibri"/>
        <family val="2"/>
        <scheme val="minor"/>
      </rPr>
      <t xml:space="preserve"> ≤ 0.4 V</t>
    </r>
  </si>
  <si>
    <t>BNI (1uA Startup)</t>
  </si>
  <si>
    <r>
      <t>I</t>
    </r>
    <r>
      <rPr>
        <vertAlign val="subscript"/>
        <sz val="12"/>
        <color theme="1"/>
        <rFont val="Calibri"/>
        <family val="2"/>
        <scheme val="minor"/>
      </rPr>
      <t>DMG</t>
    </r>
    <r>
      <rPr>
        <sz val="12"/>
        <color theme="1"/>
        <rFont val="Calibri"/>
        <family val="2"/>
        <scheme val="minor"/>
      </rPr>
      <t xml:space="preserve"> ≥ 170 uA</t>
    </r>
  </si>
  <si>
    <t>Keep 1ms after System On</t>
  </si>
  <si>
    <t>BNI (HV Startup)</t>
  </si>
  <si>
    <r>
      <t>V</t>
    </r>
    <r>
      <rPr>
        <vertAlign val="subscript"/>
        <sz val="12"/>
        <color theme="1"/>
        <rFont val="Calibri"/>
        <family val="2"/>
        <scheme val="minor"/>
      </rPr>
      <t>HV</t>
    </r>
    <r>
      <rPr>
        <sz val="12"/>
        <color theme="1"/>
        <rFont val="Calibri"/>
        <family val="2"/>
        <scheme val="minor"/>
      </rPr>
      <t xml:space="preserve"> ≥ 105 V</t>
    </r>
  </si>
  <si>
    <t>BNO (1uA Startup)</t>
  </si>
  <si>
    <r>
      <t>I</t>
    </r>
    <r>
      <rPr>
        <vertAlign val="subscript"/>
        <sz val="12"/>
        <color theme="1"/>
        <rFont val="Calibri"/>
        <family val="2"/>
        <scheme val="minor"/>
      </rPr>
      <t>DMG</t>
    </r>
    <r>
      <rPr>
        <sz val="12"/>
        <color theme="1"/>
        <rFont val="Calibri"/>
        <family val="2"/>
        <scheme val="minor"/>
      </rPr>
      <t xml:space="preserve"> ≤ 160 uA</t>
    </r>
  </si>
  <si>
    <t>Lock after 64 ms</t>
  </si>
  <si>
    <t>BNO (HV Startup)</t>
  </si>
  <si>
    <r>
      <t>V</t>
    </r>
    <r>
      <rPr>
        <vertAlign val="subscript"/>
        <sz val="12"/>
        <color theme="1"/>
        <rFont val="Calibri"/>
        <family val="2"/>
        <scheme val="minor"/>
      </rPr>
      <t>HV</t>
    </r>
    <r>
      <rPr>
        <sz val="12"/>
        <color theme="1"/>
        <rFont val="Calibri"/>
        <family val="2"/>
        <scheme val="minor"/>
      </rPr>
      <t xml:space="preserve"> ≤ 95 V</t>
    </r>
  </si>
  <si>
    <t>CSOTP</t>
  </si>
  <si>
    <r>
      <t>V</t>
    </r>
    <r>
      <rPr>
        <vertAlign val="subscript"/>
        <sz val="12"/>
        <color theme="1"/>
        <rFont val="Calibri"/>
        <family val="2"/>
        <scheme val="minor"/>
      </rPr>
      <t>CS</t>
    </r>
    <r>
      <rPr>
        <sz val="12"/>
        <color theme="1"/>
        <rFont val="Calibri"/>
        <family val="2"/>
        <scheme val="minor"/>
      </rPr>
      <t xml:space="preserve"> ≥ 0.1 V</t>
    </r>
  </si>
  <si>
    <t>OLP</t>
  </si>
  <si>
    <r>
      <t>V</t>
    </r>
    <r>
      <rPr>
        <vertAlign val="subscript"/>
        <sz val="12"/>
        <color theme="1"/>
        <rFont val="Calibri"/>
        <family val="2"/>
        <scheme val="minor"/>
      </rPr>
      <t>FB</t>
    </r>
    <r>
      <rPr>
        <sz val="12"/>
        <color theme="1"/>
        <rFont val="Calibri"/>
        <family val="2"/>
        <scheme val="minor"/>
      </rPr>
      <t xml:space="preserve"> ≥ 3.4 V</t>
    </r>
  </si>
  <si>
    <t>VCC_OVP</t>
  </si>
  <si>
    <t>VCC ≥ 52 V</t>
  </si>
  <si>
    <t>OTP</t>
  </si>
  <si>
    <r>
      <t>T</t>
    </r>
    <r>
      <rPr>
        <vertAlign val="subscript"/>
        <sz val="12"/>
        <color theme="1"/>
        <rFont val="Calibri"/>
        <family val="2"/>
        <scheme val="minor"/>
      </rPr>
      <t>J</t>
    </r>
    <r>
      <rPr>
        <sz val="12"/>
        <color theme="1"/>
        <rFont val="Calibri"/>
        <family val="2"/>
        <scheme val="minor"/>
      </rPr>
      <t xml:space="preserve"> ≥ 150°C (Trigger)
T</t>
    </r>
    <r>
      <rPr>
        <vertAlign val="subscript"/>
        <sz val="12"/>
        <color theme="1"/>
        <rFont val="Calibri"/>
        <family val="2"/>
        <scheme val="minor"/>
      </rPr>
      <t>J</t>
    </r>
    <r>
      <rPr>
        <sz val="12"/>
        <color theme="1"/>
        <rFont val="Calibri"/>
        <family val="2"/>
        <scheme val="minor"/>
      </rPr>
      <t xml:space="preserve"> ≤ 125°C (Release)</t>
    </r>
  </si>
  <si>
    <t>SSCP</t>
  </si>
  <si>
    <r>
      <t>V</t>
    </r>
    <r>
      <rPr>
        <vertAlign val="subscript"/>
        <sz val="12"/>
        <color theme="1"/>
        <rFont val="Calibri"/>
        <family val="2"/>
        <scheme val="minor"/>
      </rPr>
      <t>CS</t>
    </r>
    <r>
      <rPr>
        <sz val="12"/>
        <color theme="1"/>
        <rFont val="Calibri"/>
        <family val="2"/>
        <scheme val="minor"/>
      </rPr>
      <t xml:space="preserve"> ≤ 0.1 V</t>
    </r>
  </si>
  <si>
    <t>FOCP</t>
  </si>
  <si>
    <r>
      <t>V</t>
    </r>
    <r>
      <rPr>
        <vertAlign val="subscript"/>
        <sz val="12"/>
        <color theme="1"/>
        <rFont val="Calibri"/>
        <family val="2"/>
        <scheme val="minor"/>
      </rPr>
      <t>CS</t>
    </r>
    <r>
      <rPr>
        <sz val="12"/>
        <color theme="1"/>
        <rFont val="Calibri"/>
        <family val="2"/>
        <scheme val="minor"/>
      </rPr>
      <t xml:space="preserve"> ≥ 1.2 V</t>
    </r>
  </si>
  <si>
    <t>Cycle by Cycle Protect and Lock after 7 Switching Cycle</t>
  </si>
  <si>
    <t>SOCP</t>
  </si>
  <si>
    <r>
      <t>V</t>
    </r>
    <r>
      <rPr>
        <vertAlign val="subscript"/>
        <sz val="12"/>
        <color theme="1"/>
        <rFont val="Calibri"/>
        <family val="2"/>
        <scheme val="minor"/>
      </rPr>
      <t>CS</t>
    </r>
    <r>
      <rPr>
        <sz val="12"/>
        <color theme="1"/>
        <rFont val="Calibri"/>
        <family val="2"/>
        <scheme val="minor"/>
      </rPr>
      <t xml:space="preserve"> ≥ 0.55 V</t>
    </r>
  </si>
  <si>
    <t>Cycle by Cycle Protect</t>
  </si>
  <si>
    <t>CTRL</t>
  </si>
  <si>
    <r>
      <t>V</t>
    </r>
    <r>
      <rPr>
        <vertAlign val="subscript"/>
        <sz val="12"/>
        <color theme="1"/>
        <rFont val="Calibri"/>
        <family val="2"/>
        <scheme val="minor"/>
      </rPr>
      <t>CTRL</t>
    </r>
    <r>
      <rPr>
        <sz val="12"/>
        <color theme="1"/>
        <rFont val="Calibri"/>
        <family val="2"/>
        <scheme val="minor"/>
      </rPr>
      <t xml:space="preserve"> ≤ 1V</t>
    </r>
  </si>
  <si>
    <t>Switching Frequency</t>
  </si>
  <si>
    <t>Behavior</t>
  </si>
  <si>
    <t>Burst_Mode</t>
  </si>
  <si>
    <r>
      <t>V</t>
    </r>
    <r>
      <rPr>
        <vertAlign val="subscript"/>
        <sz val="12"/>
        <color theme="1"/>
        <rFont val="Calibri"/>
        <family val="2"/>
        <scheme val="minor"/>
      </rPr>
      <t>FB</t>
    </r>
    <r>
      <rPr>
        <sz val="12"/>
        <color theme="1"/>
        <rFont val="Calibri"/>
        <family val="2"/>
        <scheme val="minor"/>
      </rPr>
      <t xml:space="preserve"> ≤ 0.6 V (Entering)
V</t>
    </r>
    <r>
      <rPr>
        <vertAlign val="subscript"/>
        <sz val="12"/>
        <color theme="1"/>
        <rFont val="Calibri"/>
        <family val="2"/>
        <scheme val="minor"/>
      </rPr>
      <t>FB</t>
    </r>
    <r>
      <rPr>
        <sz val="12"/>
        <color theme="1"/>
        <rFont val="Calibri"/>
        <family val="2"/>
        <scheme val="minor"/>
      </rPr>
      <t xml:space="preserve"> ≥ 0.8 V (Ending)</t>
    </r>
  </si>
  <si>
    <t>Entering - Disable the Controller
Ending - Enable the Controller</t>
  </si>
  <si>
    <r>
      <t>F</t>
    </r>
    <r>
      <rPr>
        <vertAlign val="subscript"/>
        <sz val="12"/>
        <color theme="1"/>
        <rFont val="Calibri"/>
        <family val="2"/>
        <scheme val="minor"/>
      </rPr>
      <t>SW_Min</t>
    </r>
  </si>
  <si>
    <r>
      <t>1.25 V ≥ V</t>
    </r>
    <r>
      <rPr>
        <vertAlign val="subscript"/>
        <sz val="12"/>
        <color theme="1"/>
        <rFont val="Calibri"/>
        <family val="2"/>
        <scheme val="minor"/>
      </rPr>
      <t>FB</t>
    </r>
    <r>
      <rPr>
        <sz val="12"/>
        <color theme="1"/>
        <rFont val="Calibri"/>
        <family val="2"/>
        <scheme val="minor"/>
      </rPr>
      <t xml:space="preserve"> ≥ 0.8 V (For A0489B)
1.4 V ≥ V</t>
    </r>
    <r>
      <rPr>
        <vertAlign val="subscript"/>
        <sz val="12"/>
        <color theme="1"/>
        <rFont val="Calibri"/>
        <family val="2"/>
        <scheme val="minor"/>
      </rPr>
      <t>FB</t>
    </r>
    <r>
      <rPr>
        <sz val="12"/>
        <color theme="1"/>
        <rFont val="Calibri"/>
        <family val="2"/>
        <scheme val="minor"/>
      </rPr>
      <t xml:space="preserve"> ≥ 0.8 V (For A0489C)</t>
    </r>
  </si>
  <si>
    <t>Minimum Clamp Frequency</t>
  </si>
  <si>
    <r>
      <t>F</t>
    </r>
    <r>
      <rPr>
        <vertAlign val="subscript"/>
        <sz val="12"/>
        <color theme="1"/>
        <rFont val="Calibri"/>
        <family val="2"/>
        <scheme val="minor"/>
      </rPr>
      <t>SW_Max</t>
    </r>
  </si>
  <si>
    <r>
      <t>V</t>
    </r>
    <r>
      <rPr>
        <vertAlign val="subscript"/>
        <sz val="12"/>
        <color theme="1"/>
        <rFont val="Calibri"/>
        <family val="2"/>
        <scheme val="minor"/>
      </rPr>
      <t>FB</t>
    </r>
    <r>
      <rPr>
        <sz val="12"/>
        <color theme="1"/>
        <rFont val="Calibri"/>
        <family val="2"/>
        <scheme val="minor"/>
      </rPr>
      <t xml:space="preserve"> ≥ 2.1 V (For A0489B)
V</t>
    </r>
    <r>
      <rPr>
        <vertAlign val="subscript"/>
        <sz val="12"/>
        <color theme="1"/>
        <rFont val="Calibri"/>
        <family val="2"/>
        <scheme val="minor"/>
      </rPr>
      <t>FB</t>
    </r>
    <r>
      <rPr>
        <sz val="12"/>
        <color theme="1"/>
        <rFont val="Calibri"/>
        <family val="2"/>
        <scheme val="minor"/>
      </rPr>
      <t xml:space="preserve"> ≥ 2 V (For A0489C)</t>
    </r>
  </si>
  <si>
    <t>Maximum Clamp Frequency</t>
  </si>
  <si>
    <t>Note:  A0489B -&gt; AP3305 / AP3306
            A0489C -&gt; GP834 / GP834D</t>
  </si>
  <si>
    <r>
      <t>T</t>
    </r>
    <r>
      <rPr>
        <b/>
        <vertAlign val="subscript"/>
        <sz val="12"/>
        <color theme="1"/>
        <rFont val="Calibri"/>
        <family val="2"/>
        <scheme val="minor"/>
      </rPr>
      <t>PMOS</t>
    </r>
    <r>
      <rPr>
        <b/>
        <sz val="12"/>
        <color theme="1"/>
        <rFont val="Calibri"/>
        <family val="1"/>
        <charset val="136"/>
        <scheme val="minor"/>
      </rPr>
      <t xml:space="preserve">
(us)</t>
    </r>
  </si>
  <si>
    <r>
      <t>V</t>
    </r>
    <r>
      <rPr>
        <b/>
        <vertAlign val="subscript"/>
        <sz val="12"/>
        <color theme="1"/>
        <rFont val="Calibri"/>
        <family val="2"/>
        <scheme val="minor"/>
      </rPr>
      <t>F</t>
    </r>
    <r>
      <rPr>
        <b/>
        <sz val="12"/>
        <color theme="1"/>
        <rFont val="Calibri"/>
        <family val="1"/>
        <charset val="136"/>
        <scheme val="minor"/>
      </rPr>
      <t xml:space="preserve">
(V)</t>
    </r>
  </si>
  <si>
    <r>
      <t>VL</t>
    </r>
    <r>
      <rPr>
        <b/>
        <vertAlign val="subscript"/>
        <sz val="12"/>
        <color theme="1"/>
        <rFont val="Calibri"/>
        <family val="2"/>
        <scheme val="minor"/>
      </rPr>
      <t>M</t>
    </r>
    <r>
      <rPr>
        <b/>
        <sz val="12"/>
        <color theme="1"/>
        <rFont val="Calibri"/>
        <family val="1"/>
        <charset val="136"/>
        <scheme val="minor"/>
      </rPr>
      <t xml:space="preserve">
(V)</t>
    </r>
  </si>
  <si>
    <t>Turns of Naux</t>
  </si>
  <si>
    <r>
      <t>VOR</t>
    </r>
    <r>
      <rPr>
        <vertAlign val="subscript"/>
        <sz val="12"/>
        <color theme="1"/>
        <rFont val="Calibri"/>
        <family val="2"/>
        <scheme val="minor"/>
      </rPr>
      <t>MAX</t>
    </r>
  </si>
  <si>
    <t>Ω</t>
  </si>
  <si>
    <t>Filter Resister (CS pin)</t>
  </si>
  <si>
    <t>Filter Capacitor (CS pin)</t>
  </si>
  <si>
    <t>Demg Resistor Divider (upper)</t>
  </si>
  <si>
    <t>Demg Resistor Divider (lower)</t>
  </si>
  <si>
    <t>Maximum Input Voltage</t>
  </si>
  <si>
    <t>Minimum Input Voltage</t>
  </si>
  <si>
    <r>
      <t>VIN</t>
    </r>
    <r>
      <rPr>
        <vertAlign val="subscript"/>
        <sz val="12"/>
        <color theme="1"/>
        <rFont val="Calibri"/>
        <family val="2"/>
        <scheme val="minor"/>
      </rPr>
      <t>MIN</t>
    </r>
  </si>
  <si>
    <r>
      <t>VIN</t>
    </r>
    <r>
      <rPr>
        <vertAlign val="subscript"/>
        <sz val="12"/>
        <color theme="1"/>
        <rFont val="Calibri"/>
        <family val="2"/>
        <scheme val="minor"/>
      </rPr>
      <t>MAX</t>
    </r>
  </si>
  <si>
    <t>Maximum Output Voltage</t>
  </si>
  <si>
    <r>
      <t>Vout</t>
    </r>
    <r>
      <rPr>
        <vertAlign val="subscript"/>
        <sz val="12"/>
        <color theme="1"/>
        <rFont val="Calibri"/>
        <family val="2"/>
        <scheme val="minor"/>
      </rPr>
      <t>MAX</t>
    </r>
  </si>
  <si>
    <t>SR MOSFET Voltage Stress</t>
  </si>
  <si>
    <r>
      <t>VDS</t>
    </r>
    <r>
      <rPr>
        <vertAlign val="subscript"/>
        <sz val="12"/>
        <color theme="1"/>
        <rFont val="Calibri"/>
        <family val="2"/>
        <scheme val="minor"/>
      </rPr>
      <t>SR</t>
    </r>
  </si>
  <si>
    <t>Snubber Resister</t>
  </si>
  <si>
    <t>Snubber Capacitor</t>
  </si>
  <si>
    <t>Primary N-ch MOSFET Voltage Stress</t>
  </si>
  <si>
    <t xml:space="preserve">SR MOSFET </t>
  </si>
  <si>
    <t>Primary N-ch MOSFET</t>
  </si>
  <si>
    <t>Primary P-ch MOSFET</t>
  </si>
  <si>
    <t>Vds_NMOS</t>
  </si>
  <si>
    <t>Vds_PMOS</t>
  </si>
  <si>
    <t>Maximum VCC Voltage</t>
  </si>
  <si>
    <t>Minimum VCC Voltage</t>
  </si>
  <si>
    <t>Primary P-ch MOSFET Voltage Stress</t>
  </si>
  <si>
    <r>
      <t>VDS</t>
    </r>
    <r>
      <rPr>
        <vertAlign val="subscript"/>
        <sz val="12"/>
        <color theme="1"/>
        <rFont val="Calibri"/>
        <family val="2"/>
        <scheme val="minor"/>
      </rPr>
      <t>NMOS</t>
    </r>
  </si>
  <si>
    <r>
      <t>VDS</t>
    </r>
    <r>
      <rPr>
        <vertAlign val="subscript"/>
        <sz val="12"/>
        <color theme="1"/>
        <rFont val="Calibri"/>
        <family val="2"/>
        <scheme val="minor"/>
      </rPr>
      <t>PMOS</t>
    </r>
  </si>
  <si>
    <t>Maximum Flux Density</t>
  </si>
  <si>
    <t>Bm
(mT)</t>
  </si>
  <si>
    <t>MOSFET Voltage Stress</t>
  </si>
  <si>
    <t>CS pin</t>
  </si>
  <si>
    <t>DEMG pin</t>
  </si>
  <si>
    <t>PMOS On Time
@90Vac Full Load, us</t>
  </si>
  <si>
    <r>
      <t xml:space="preserve">Max Output Current, A
</t>
    </r>
    <r>
      <rPr>
        <sz val="10"/>
        <color theme="1"/>
        <rFont val="Calibri"/>
        <family val="2"/>
        <scheme val="minor"/>
      </rPr>
      <t>@Maximum Output Voltage</t>
    </r>
  </si>
  <si>
    <r>
      <t>Turns of N</t>
    </r>
    <r>
      <rPr>
        <vertAlign val="subscript"/>
        <sz val="11"/>
        <color rgb="FF0000CC"/>
        <rFont val="Calibri"/>
        <family val="2"/>
        <scheme val="minor"/>
      </rPr>
      <t>AUX</t>
    </r>
    <r>
      <rPr>
        <sz val="11"/>
        <color rgb="FF0000CC"/>
        <rFont val="Calibri"/>
        <family val="2"/>
        <scheme val="minor"/>
      </rPr>
      <t>, (single winding)</t>
    </r>
  </si>
  <si>
    <r>
      <t>Turns of N</t>
    </r>
    <r>
      <rPr>
        <vertAlign val="subscript"/>
        <sz val="11"/>
        <color theme="1"/>
        <rFont val="Calibri"/>
        <family val="2"/>
        <scheme val="minor"/>
      </rPr>
      <t>AUXL</t>
    </r>
  </si>
  <si>
    <r>
      <t>Turns of N</t>
    </r>
    <r>
      <rPr>
        <vertAlign val="subscript"/>
        <sz val="11"/>
        <color theme="1"/>
        <rFont val="Calibri"/>
        <family val="2"/>
        <scheme val="minor"/>
      </rPr>
      <t>AUXH</t>
    </r>
  </si>
  <si>
    <r>
      <t>D</t>
    </r>
    <r>
      <rPr>
        <vertAlign val="subscript"/>
        <sz val="11"/>
        <color theme="1"/>
        <rFont val="Calibri"/>
        <family val="2"/>
        <scheme val="minor"/>
      </rPr>
      <t>LV</t>
    </r>
  </si>
  <si>
    <r>
      <t>T</t>
    </r>
    <r>
      <rPr>
        <vertAlign val="subscript"/>
        <sz val="11"/>
        <color theme="1"/>
        <rFont val="Calibri"/>
        <family val="2"/>
        <scheme val="minor"/>
      </rPr>
      <t>NMOS_VL</t>
    </r>
  </si>
  <si>
    <r>
      <t>T</t>
    </r>
    <r>
      <rPr>
        <vertAlign val="subscript"/>
        <sz val="11"/>
        <color theme="1"/>
        <rFont val="Calibri"/>
        <family val="2"/>
        <scheme val="minor"/>
      </rPr>
      <t>SR_LV</t>
    </r>
  </si>
  <si>
    <r>
      <t>T</t>
    </r>
    <r>
      <rPr>
        <vertAlign val="subscript"/>
        <sz val="11"/>
        <color theme="1"/>
        <rFont val="Calibri"/>
        <family val="2"/>
        <scheme val="minor"/>
      </rPr>
      <t>COND</t>
    </r>
  </si>
  <si>
    <r>
      <t>N</t>
    </r>
    <r>
      <rPr>
        <vertAlign val="subscript"/>
        <sz val="11"/>
        <color rgb="FF0000CC"/>
        <rFont val="Calibri"/>
        <family val="2"/>
        <scheme val="minor"/>
      </rPr>
      <t>AUX</t>
    </r>
  </si>
  <si>
    <r>
      <t>N</t>
    </r>
    <r>
      <rPr>
        <vertAlign val="subscript"/>
        <sz val="11"/>
        <color theme="1"/>
        <rFont val="Calibri"/>
        <family val="2"/>
        <scheme val="minor"/>
      </rPr>
      <t>AUXL</t>
    </r>
  </si>
  <si>
    <r>
      <t>N</t>
    </r>
    <r>
      <rPr>
        <vertAlign val="subscript"/>
        <sz val="11"/>
        <color theme="1"/>
        <rFont val="Calibri"/>
        <family val="2"/>
        <scheme val="minor"/>
      </rPr>
      <t>AUXH</t>
    </r>
  </si>
  <si>
    <r>
      <t>VCC</t>
    </r>
    <r>
      <rPr>
        <vertAlign val="subscript"/>
        <sz val="11"/>
        <rFont val="Calibri"/>
        <family val="2"/>
        <scheme val="minor"/>
      </rPr>
      <t>MAX</t>
    </r>
  </si>
  <si>
    <r>
      <t>VCC</t>
    </r>
    <r>
      <rPr>
        <vertAlign val="subscript"/>
        <sz val="11"/>
        <rFont val="Calibri"/>
        <family val="2"/>
        <scheme val="minor"/>
      </rPr>
      <t>MIN</t>
    </r>
  </si>
  <si>
    <r>
      <t>mm</t>
    </r>
    <r>
      <rPr>
        <vertAlign val="superscript"/>
        <sz val="11"/>
        <color theme="1"/>
        <rFont val="Calibri"/>
        <family val="2"/>
        <scheme val="minor"/>
      </rPr>
      <t>2</t>
    </r>
  </si>
  <si>
    <t>&lt; 48V</t>
  </si>
  <si>
    <r>
      <t xml:space="preserve">Less than </t>
    </r>
    <r>
      <rPr>
        <b/>
        <sz val="12"/>
        <color theme="1"/>
        <rFont val="Calibri"/>
        <family val="2"/>
        <scheme val="minor"/>
      </rPr>
      <t>300 Vac</t>
    </r>
  </si>
  <si>
    <r>
      <t xml:space="preserve">Greater than </t>
    </r>
    <r>
      <rPr>
        <b/>
        <sz val="12"/>
        <color theme="1"/>
        <rFont val="Calibri"/>
        <family val="2"/>
        <scheme val="minor"/>
      </rPr>
      <t>80 Vac</t>
    </r>
  </si>
  <si>
    <t>TQR Estimation</t>
  </si>
  <si>
    <t>Po</t>
  </si>
  <si>
    <t>VFB1
(TB0,max)
(V)</t>
  </si>
  <si>
    <r>
      <t>Rcs
(</t>
    </r>
    <r>
      <rPr>
        <sz val="12"/>
        <color theme="1"/>
        <rFont val="新細明體"/>
        <family val="1"/>
        <charset val="136"/>
      </rPr>
      <t>Ω)</t>
    </r>
  </si>
  <si>
    <r>
      <t>Jitter
(</t>
    </r>
    <r>
      <rPr>
        <sz val="12"/>
        <color theme="1"/>
        <rFont val="新細明體"/>
        <family val="1"/>
        <charset val="136"/>
      </rPr>
      <t>△</t>
    </r>
    <r>
      <rPr>
        <sz val="9.6"/>
        <color theme="1"/>
        <rFont val="新細明體"/>
        <family val="1"/>
        <charset val="136"/>
      </rPr>
      <t>V)</t>
    </r>
  </si>
  <si>
    <t>VFB2 (TB0,min)
(V)</t>
  </si>
  <si>
    <t>TCSN Estimation</t>
  </si>
  <si>
    <t>Time to reset minus magnetic current (-Im).</t>
  </si>
  <si>
    <t>TRST Estimation</t>
  </si>
  <si>
    <t>Time to charge CSN (at the moment after NMOS turning off).</t>
  </si>
  <si>
    <t>Period of 1'st QR.</t>
  </si>
  <si>
    <t>Trst_LV</t>
  </si>
  <si>
    <t>Tcsn_LV</t>
  </si>
  <si>
    <r>
      <t>T</t>
    </r>
    <r>
      <rPr>
        <vertAlign val="subscript"/>
        <sz val="11"/>
        <color theme="1"/>
        <rFont val="Calibri"/>
        <family val="2"/>
        <scheme val="minor"/>
      </rPr>
      <t>QR_LV</t>
    </r>
  </si>
  <si>
    <t>Dead Time and Reset Time
@ Minimum Vbulk Full Load, us</t>
  </si>
  <si>
    <t>CSN Charge Time
@ Minimum Vbulk Full Load, us</t>
  </si>
  <si>
    <t>Maximum Output Power, W</t>
  </si>
  <si>
    <r>
      <t>T</t>
    </r>
    <r>
      <rPr>
        <vertAlign val="subscript"/>
        <sz val="11"/>
        <color theme="1"/>
        <rFont val="Calibri"/>
        <family val="2"/>
        <scheme val="minor"/>
      </rPr>
      <t>PMOS_LV</t>
    </r>
  </si>
  <si>
    <r>
      <t>T</t>
    </r>
    <r>
      <rPr>
        <vertAlign val="subscript"/>
        <sz val="11"/>
        <color theme="1"/>
        <rFont val="Calibri"/>
        <family val="2"/>
        <scheme val="minor"/>
      </rPr>
      <t>PMOS_HV</t>
    </r>
  </si>
  <si>
    <t>Output Power
(W)</t>
  </si>
  <si>
    <r>
      <t>T</t>
    </r>
    <r>
      <rPr>
        <b/>
        <vertAlign val="subscript"/>
        <sz val="18"/>
        <color theme="1"/>
        <rFont val="Calibri"/>
        <family val="2"/>
        <scheme val="minor"/>
      </rPr>
      <t>PMOS</t>
    </r>
    <r>
      <rPr>
        <b/>
        <sz val="18"/>
        <color theme="1"/>
        <rFont val="Calibri"/>
        <family val="1"/>
        <charset val="136"/>
        <scheme val="minor"/>
      </rPr>
      <t>, T</t>
    </r>
    <r>
      <rPr>
        <b/>
        <vertAlign val="subscript"/>
        <sz val="18"/>
        <color theme="1"/>
        <rFont val="Calibri"/>
        <family val="2"/>
        <scheme val="minor"/>
      </rPr>
      <t>RST</t>
    </r>
    <r>
      <rPr>
        <b/>
        <sz val="18"/>
        <color theme="1"/>
        <rFont val="Calibri"/>
        <family val="1"/>
        <charset val="136"/>
        <scheme val="minor"/>
      </rPr>
      <t>, T</t>
    </r>
    <r>
      <rPr>
        <b/>
        <vertAlign val="subscript"/>
        <sz val="18"/>
        <color theme="1"/>
        <rFont val="Calibri"/>
        <family val="2"/>
        <scheme val="minor"/>
      </rPr>
      <t>CSN</t>
    </r>
    <r>
      <rPr>
        <b/>
        <sz val="18"/>
        <color theme="1"/>
        <rFont val="Calibri"/>
        <family val="1"/>
        <charset val="136"/>
        <scheme val="minor"/>
      </rPr>
      <t xml:space="preserve"> and T</t>
    </r>
    <r>
      <rPr>
        <b/>
        <vertAlign val="subscript"/>
        <sz val="18"/>
        <color theme="1"/>
        <rFont val="Calibri"/>
        <family val="2"/>
        <scheme val="minor"/>
      </rPr>
      <t>QR</t>
    </r>
  </si>
  <si>
    <r>
      <t>T</t>
    </r>
    <r>
      <rPr>
        <b/>
        <vertAlign val="subscript"/>
        <sz val="12"/>
        <color theme="1"/>
        <rFont val="Calibri"/>
        <family val="2"/>
        <scheme val="minor"/>
      </rPr>
      <t>RST</t>
    </r>
    <r>
      <rPr>
        <b/>
        <sz val="12"/>
        <color theme="1"/>
        <rFont val="Calibri"/>
        <family val="1"/>
        <charset val="136"/>
        <scheme val="minor"/>
      </rPr>
      <t xml:space="preserve">
(us)</t>
    </r>
  </si>
  <si>
    <r>
      <t>T</t>
    </r>
    <r>
      <rPr>
        <b/>
        <vertAlign val="subscript"/>
        <sz val="12"/>
        <color theme="1"/>
        <rFont val="Calibri"/>
        <family val="2"/>
        <scheme val="minor"/>
      </rPr>
      <t>CSN</t>
    </r>
    <r>
      <rPr>
        <b/>
        <sz val="12"/>
        <color theme="1"/>
        <rFont val="Calibri"/>
        <family val="1"/>
        <charset val="136"/>
        <scheme val="minor"/>
      </rPr>
      <t xml:space="preserve">
(us)</t>
    </r>
  </si>
  <si>
    <r>
      <t>T</t>
    </r>
    <r>
      <rPr>
        <b/>
        <vertAlign val="subscript"/>
        <sz val="12"/>
        <color theme="1"/>
        <rFont val="Calibri"/>
        <family val="2"/>
        <scheme val="minor"/>
      </rPr>
      <t>QR</t>
    </r>
    <r>
      <rPr>
        <b/>
        <sz val="12"/>
        <color theme="1"/>
        <rFont val="Calibri"/>
        <family val="1"/>
        <charset val="136"/>
        <scheme val="minor"/>
      </rPr>
      <t xml:space="preserve">
(us)</t>
    </r>
  </si>
  <si>
    <t>Tdead
(us)</t>
    <phoneticPr fontId="1" type="noConversion"/>
  </si>
  <si>
    <t>Upper Bound Frequency
(kHz)</t>
  </si>
  <si>
    <t>Pin 
with 1'st QR
(W)</t>
  </si>
  <si>
    <t>Frequency with 1'st QR
(KHz)</t>
  </si>
  <si>
    <t>Tsw
 with 1'st QR
(us)</t>
  </si>
  <si>
    <t>Pout with
Upper Bound
(W)</t>
  </si>
  <si>
    <t xml:space="preserve">At minimum Vbulk, maximu output. 
0.75us recommended. </t>
  </si>
  <si>
    <t xml:space="preserve">                                                          Please fill in the orange cells with desired system information. </t>
  </si>
  <si>
    <t>①</t>
  </si>
  <si>
    <t>②</t>
  </si>
  <si>
    <t>③</t>
  </si>
  <si>
    <t>④</t>
  </si>
  <si>
    <t>⑤</t>
  </si>
  <si>
    <t>⑥</t>
  </si>
  <si>
    <t>⑦</t>
  </si>
  <si>
    <t>⑧</t>
  </si>
  <si>
    <t>⑨</t>
  </si>
  <si>
    <t>⑩</t>
  </si>
  <si>
    <t>⑪</t>
  </si>
  <si>
    <t>⑫</t>
  </si>
  <si>
    <t>⑬</t>
  </si>
  <si>
    <t>⑭</t>
  </si>
  <si>
    <t>Minimum Output Voltage</t>
  </si>
  <si>
    <t>Maximum Output Current</t>
  </si>
  <si>
    <r>
      <t xml:space="preserve">Fill in the maximum input voltage in VRMS. AP3306 built-in input over voltage protection with threshold of 320Vac. In most case, the required maximum input is 264Vac. If a SPEC above 300Vac desired, please contact with FAE for assist.
</t>
    </r>
    <r>
      <rPr>
        <sz val="10"/>
        <color theme="1"/>
        <rFont val="Calibri"/>
        <family val="2"/>
        <scheme val="minor"/>
      </rPr>
      <t>填入最高輸入線電壓，AP3306 內建閾值為320Vac 的輸入過壓保護。
最大輸入電壓規格上限通常為264Vac。 如果需設計高於300Vac 的規格，請與FAE聯繫以尋求協助。</t>
    </r>
  </si>
  <si>
    <r>
      <t xml:space="preserve">Fill in the minimum input voltage in VRMS. 
</t>
    </r>
    <r>
      <rPr>
        <sz val="10"/>
        <color theme="1"/>
        <rFont val="Calibri"/>
        <family val="2"/>
        <scheme val="minor"/>
      </rPr>
      <t>填入最低輸入線電壓。</t>
    </r>
  </si>
  <si>
    <r>
      <t xml:space="preserve">Fill in the desired minimum frequency of input AC mains. Generally, the minimum requirement is 50Hz. The lower required frequency, the greater input capacitance required.
</t>
    </r>
    <r>
      <rPr>
        <sz val="10"/>
        <color theme="1"/>
        <rFont val="Calibri"/>
        <family val="2"/>
        <scheme val="minor"/>
      </rPr>
      <t>填入最低輸入線電壓頻率，一般應用最低需求 50Hz，需求的頻率愈低，需要的輸入電容愈大 。</t>
    </r>
  </si>
  <si>
    <r>
      <t xml:space="preserve">Fill in maximum output voltage. 
</t>
    </r>
    <r>
      <rPr>
        <sz val="10"/>
        <color theme="1"/>
        <rFont val="Calibri"/>
        <family val="2"/>
        <scheme val="minor"/>
      </rPr>
      <t>填入最高輸出電壓。</t>
    </r>
  </si>
  <si>
    <r>
      <t xml:space="preserve">Fill in minimum output voltage.
</t>
    </r>
    <r>
      <rPr>
        <sz val="10"/>
        <color theme="1"/>
        <rFont val="Calibri"/>
        <family val="2"/>
        <scheme val="minor"/>
      </rPr>
      <t>填入最低輸出電壓。</t>
    </r>
  </si>
  <si>
    <r>
      <t xml:space="preserve">Fill in the maximum output current at the highest output voltage. This current will be used to evaluate the maximum output power of the system.
</t>
    </r>
    <r>
      <rPr>
        <sz val="10"/>
        <color theme="1"/>
        <rFont val="Calibri"/>
        <family val="2"/>
        <scheme val="minor"/>
      </rPr>
      <t>填入最高輸出電壓下的最大輸出電流，這個電流將用來評估系統的最大輸出功率。</t>
    </r>
  </si>
  <si>
    <t>Desired SPEC of 45W example:</t>
  </si>
  <si>
    <t>Output = 5V/3A, 9V/3A, 15V/3A, 20V/2.25A</t>
  </si>
  <si>
    <r>
      <rPr>
        <b/>
        <sz val="12"/>
        <color theme="1"/>
        <rFont val="Arial"/>
        <family val="2"/>
      </rPr>
      <t xml:space="preserve">Step 2: </t>
    </r>
    <r>
      <rPr>
        <sz val="12"/>
        <color theme="1"/>
        <rFont val="Arial"/>
        <family val="2"/>
      </rPr>
      <t xml:space="preserve">Refer to the worksheet "System Parameter Summary" for circuit design. </t>
    </r>
  </si>
  <si>
    <r>
      <rPr>
        <b/>
        <sz val="12"/>
        <color theme="1"/>
        <rFont val="Arial"/>
        <family val="2"/>
      </rPr>
      <t xml:space="preserve">Step 1: </t>
    </r>
    <r>
      <rPr>
        <sz val="12"/>
        <color theme="1"/>
        <rFont val="Arial"/>
        <family val="2"/>
      </rPr>
      <t xml:space="preserve">Please fill in the orange cells with desired design SPEC in the worksheet "System Designer". </t>
    </r>
  </si>
  <si>
    <t>Keep VOR between 70V to 140V.</t>
  </si>
  <si>
    <r>
      <t xml:space="preserve">In the range of </t>
    </r>
    <r>
      <rPr>
        <b/>
        <sz val="11"/>
        <color theme="1"/>
        <rFont val="Calibri"/>
        <family val="2"/>
        <scheme val="minor"/>
      </rPr>
      <t>70V to 140V</t>
    </r>
    <r>
      <rPr>
        <sz val="11"/>
        <color theme="1"/>
        <rFont val="Calibri"/>
        <family val="2"/>
        <scheme val="minor"/>
      </rPr>
      <t xml:space="preserve">,
</t>
    </r>
    <r>
      <rPr>
        <b/>
        <sz val="11"/>
        <color theme="1"/>
        <rFont val="Calibri"/>
        <family val="2"/>
        <scheme val="minor"/>
      </rPr>
      <t>110V</t>
    </r>
    <r>
      <rPr>
        <sz val="11"/>
        <color theme="1"/>
        <rFont val="Calibri"/>
        <family val="2"/>
        <scheme val="minor"/>
      </rPr>
      <t xml:space="preserve"> recommended. </t>
    </r>
  </si>
  <si>
    <t>Reflected Voltage</t>
  </si>
  <si>
    <r>
      <t xml:space="preserve">Design the reverse bias of the secondary SR MOSFET (without spikes), it is recommended to design the reverse bias to be 75 ~ 90% of the rated value of the SR MOSFET, and make the primary side reflected voltage (VOR) between 70V and 140V. If the VOR can not be set in the range between 70V and 140V, the SR MOSFET must be upgraded to higher VDS rating.
In this example. A 100V SR MOSFET is selected. The SR MOSFET is designed to withstand a reverse bias of 80V and VOR should be 124V.
</t>
    </r>
    <r>
      <rPr>
        <sz val="10"/>
        <color theme="1"/>
        <rFont val="Calibri"/>
        <family val="2"/>
        <scheme val="minor"/>
      </rPr>
      <t>設計二次側 SR MOSFET 的逆向偏壓(不含尖波)，建議設計為所選用的SR MOSFET 之VDS額定值 75~90%，並使一次側反射電壓(VOR)在 70V 至140之間，若在VDS 額定範圍內無法使VOR落在70V至140V之間，則須提高所選用的 SR MOSFET額定值。
此範例中選用 100V SRMOSFET，設計SR MOSFET 承受 80V逆向偏壓，VOR 為 124V。</t>
    </r>
  </si>
  <si>
    <r>
      <t>60V</t>
    </r>
    <r>
      <rPr>
        <sz val="11"/>
        <color theme="1"/>
        <rFont val="Calibri"/>
        <family val="2"/>
        <scheme val="minor"/>
      </rPr>
      <t xml:space="preserve"> or greater.</t>
    </r>
  </si>
  <si>
    <t>Minimum Bulk Cap Voltage</t>
  </si>
  <si>
    <r>
      <t xml:space="preserve">Fill in the tolerance of bulk cap. 
</t>
    </r>
    <r>
      <rPr>
        <sz val="10"/>
        <color theme="1"/>
        <rFont val="Calibri"/>
        <family val="2"/>
        <scheme val="minor"/>
      </rPr>
      <t>填入輸入電容器的誤差值</t>
    </r>
  </si>
  <si>
    <r>
      <t xml:space="preserve">Fill in the desired maximum flux density. It is recommended to be less than or equal to 80% of the saturation magnetic flux density.
</t>
    </r>
    <r>
      <rPr>
        <sz val="10"/>
        <color theme="1"/>
        <rFont val="Calibri"/>
        <family val="2"/>
        <scheme val="minor"/>
      </rPr>
      <t>填入欲限制的最高磁通密度(Bm)，建議小於或等於飽和磁通密度的80%。</t>
    </r>
  </si>
  <si>
    <r>
      <t xml:space="preserve">Set the number of turns of the NP winding.
</t>
    </r>
    <r>
      <rPr>
        <sz val="10"/>
        <color theme="1"/>
        <rFont val="Calibri"/>
        <family val="2"/>
        <scheme val="minor"/>
      </rPr>
      <t>設定NP繞組的圈數。</t>
    </r>
  </si>
  <si>
    <t>Turns of NS</t>
  </si>
  <si>
    <r>
      <t xml:space="preserve">Set the number of turns of the NS winding.
</t>
    </r>
    <r>
      <rPr>
        <sz val="10"/>
        <color theme="1"/>
        <rFont val="Calibri"/>
        <family val="2"/>
        <scheme val="minor"/>
      </rPr>
      <t>設定NS繞組的圈數。</t>
    </r>
  </si>
  <si>
    <r>
      <t>Fill in the sectional area of selected core (Ae).  The RM10 core is used in this 65W example that has sectional area of 95 mm</t>
    </r>
    <r>
      <rPr>
        <vertAlign val="superscript"/>
        <sz val="11"/>
        <color theme="1"/>
        <rFont val="Calibri"/>
        <family val="2"/>
        <scheme val="minor"/>
      </rPr>
      <t>2</t>
    </r>
    <r>
      <rPr>
        <sz val="11"/>
        <color theme="1"/>
        <rFont val="Calibri"/>
        <family val="2"/>
        <scheme val="minor"/>
      </rPr>
      <t xml:space="preserve">.
</t>
    </r>
    <r>
      <rPr>
        <sz val="10"/>
        <color theme="1"/>
        <rFont val="Calibri"/>
        <family val="2"/>
        <scheme val="minor"/>
      </rPr>
      <t>填入選擇的鐵芯截面積 (Ae)。在此65W範例中選用截面積為 95mm</t>
    </r>
    <r>
      <rPr>
        <vertAlign val="superscript"/>
        <sz val="10"/>
        <color theme="1"/>
        <rFont val="Calibri"/>
        <family val="2"/>
        <scheme val="minor"/>
      </rPr>
      <t>2</t>
    </r>
    <r>
      <rPr>
        <sz val="10"/>
        <color theme="1"/>
        <rFont val="Calibri"/>
        <family val="2"/>
        <scheme val="minor"/>
      </rPr>
      <t xml:space="preserve"> 的 RM10。</t>
    </r>
  </si>
  <si>
    <t>Input = 90Vac to  264Vac, 50Hz/60Hz</t>
  </si>
  <si>
    <t>Output = 5V/3A, 9V/3A, 15V/3A, 20V/3.25A</t>
  </si>
  <si>
    <t>PMOS On Time
@critical condition, us</t>
  </si>
  <si>
    <t>Dead Time and Reset Time
@presented condition, us</t>
  </si>
  <si>
    <t>CSN Charge Time
@presented condition, us</t>
  </si>
  <si>
    <t>Periode of Resonance
@presented condition, us</t>
  </si>
  <si>
    <t>Vin DC\Po</t>
  </si>
  <si>
    <t>Trst_pre</t>
  </si>
  <si>
    <t>Tcsn_pre</t>
  </si>
  <si>
    <r>
      <t>T</t>
    </r>
    <r>
      <rPr>
        <vertAlign val="subscript"/>
        <sz val="11"/>
        <color theme="1"/>
        <rFont val="Calibri"/>
        <family val="2"/>
        <scheme val="minor"/>
      </rPr>
      <t>QR_pre</t>
    </r>
  </si>
  <si>
    <r>
      <t>T</t>
    </r>
    <r>
      <rPr>
        <vertAlign val="subscript"/>
        <sz val="11"/>
        <color theme="1"/>
        <rFont val="Calibri"/>
        <family val="2"/>
        <scheme val="minor"/>
      </rPr>
      <t>NMOS_pre</t>
    </r>
  </si>
  <si>
    <r>
      <t>T</t>
    </r>
    <r>
      <rPr>
        <vertAlign val="subscript"/>
        <sz val="11"/>
        <color theme="1"/>
        <rFont val="Calibri"/>
        <family val="2"/>
        <scheme val="minor"/>
      </rPr>
      <t>SR_pre</t>
    </r>
  </si>
  <si>
    <t>Freq_pre</t>
  </si>
  <si>
    <t>Desired SPEC of 65W example:</t>
  </si>
  <si>
    <t>Presented Bulk-cap DC Voltage to assign operation frequency</t>
  </si>
  <si>
    <r>
      <rPr>
        <sz val="11"/>
        <rFont val="Calibri"/>
        <family val="2"/>
        <scheme val="minor"/>
      </rPr>
      <t>The operating frequency to be achieved at the above voltage, it can be set in the range of 40KHz-70KHz. It is recommended to design that operating at 110KHz with bulk-cap voltage of 325V.</t>
    </r>
    <r>
      <rPr>
        <sz val="10"/>
        <rFont val="Calibri"/>
        <family val="2"/>
        <scheme val="minor"/>
      </rPr>
      <t xml:space="preserve">
在上述電壓下欲達到的操作頻率，可設定範圍 40KHz - 70KHz。建議以輸入電容325V 時達到 110KHz 為目標值進行設計。</t>
    </r>
  </si>
  <si>
    <t>Rev 1.2</t>
  </si>
  <si>
    <t>50KHz to 80KHz</t>
  </si>
  <si>
    <t>Period of Resonance
@ Minimum Vbulk Full Load, us</t>
  </si>
  <si>
    <t>Tsw
 with 1'st valley (us)</t>
  </si>
  <si>
    <t>Pout 
with 1'st valley (W)</t>
  </si>
  <si>
    <t>Valley Switch Mode (for low-line operation)</t>
  </si>
  <si>
    <t>ZVS Mode (for high-line operation)</t>
  </si>
  <si>
    <t>Tsw</t>
  </si>
  <si>
    <t>Switching Period
@minimum Vbulk, us</t>
  </si>
  <si>
    <t>NMOS On Time
@minimum Vbulk, us</t>
  </si>
  <si>
    <t>Secondary Side Conduction Time
@minimum Vbulk, us</t>
  </si>
  <si>
    <t>Secondary Side Peak Current
@minimum Vbulk, A</t>
  </si>
  <si>
    <t>Primary Side Peak Current
@minimum Vbulk, A</t>
  </si>
  <si>
    <t>At the critical condition, minimum Vbulk and maximum load.</t>
  </si>
  <si>
    <t>1/16</t>
  </si>
  <si>
    <r>
      <t xml:space="preserve">Desired Frequency 
</t>
    </r>
    <r>
      <rPr>
        <sz val="10"/>
        <color theme="1"/>
        <rFont val="Calibri"/>
        <family val="2"/>
        <scheme val="minor"/>
      </rPr>
      <t>@minimum Vbulk, maximum load</t>
    </r>
  </si>
  <si>
    <r>
      <t xml:space="preserve">Set the minimum voltage of the Bulk cap. This is the lowest excitation voltage. The lower excitation voltage, the lower minimum operating frequency, the heavier transformer and the lower conversion efficiency. To maintain a higher excitation voltage requires a larger input capacitance. It is recommended to design it above or equal to 60V. 
</t>
    </r>
    <r>
      <rPr>
        <sz val="10"/>
        <color theme="1"/>
        <rFont val="Calibri"/>
        <family val="2"/>
        <scheme val="minor"/>
      </rPr>
      <t>設定輸入電容的最低電壓，此為最低的激磁電壓，此電壓愈低則最低操作頻率愈低，也使變壓器負擔愈重並影響轉換效率。欲使此電壓愈高則需要愈大的輸入電容。建議設計在至少60V以上，
此範例中設定為 65V。</t>
    </r>
  </si>
  <si>
    <t>Desired Frequency 
@minimum Vbulk, maximum load</t>
  </si>
  <si>
    <r>
      <t>Fill in the sectional area of selected core (Ae).  The RM8 core is used in this 45W example that has sectional area of 60 mm</t>
    </r>
    <r>
      <rPr>
        <vertAlign val="superscript"/>
        <sz val="11"/>
        <color theme="1"/>
        <rFont val="Calibri"/>
        <family val="2"/>
        <scheme val="minor"/>
      </rPr>
      <t>2</t>
    </r>
    <r>
      <rPr>
        <sz val="11"/>
        <color theme="1"/>
        <rFont val="Calibri"/>
        <family val="2"/>
        <scheme val="minor"/>
      </rPr>
      <t xml:space="preserve">.
</t>
    </r>
    <r>
      <rPr>
        <sz val="10"/>
        <color theme="1"/>
        <rFont val="Calibri"/>
        <family val="2"/>
        <scheme val="minor"/>
      </rPr>
      <t>填入選擇的鐵芯截面積 (Ae)。在此45W範例中選用截面積為 60mm</t>
    </r>
    <r>
      <rPr>
        <vertAlign val="superscript"/>
        <sz val="10"/>
        <color theme="1"/>
        <rFont val="Calibri"/>
        <family val="2"/>
        <scheme val="minor"/>
      </rPr>
      <t>2</t>
    </r>
    <r>
      <rPr>
        <sz val="10"/>
        <color theme="1"/>
        <rFont val="Calibri"/>
        <family val="2"/>
        <scheme val="minor"/>
      </rPr>
      <t xml:space="preserve"> 的 RM8。</t>
    </r>
  </si>
</sst>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64" formatCode="0.000"/>
    <numFmt numFmtId="165" formatCode="m&quot;月&quot;d&quot;日&quot;"/>
    <numFmt numFmtId="166" formatCode="General\ &quot;uH&quot;"/>
    <numFmt numFmtId="167" formatCode="0.00000"/>
    <numFmt numFmtId="168" formatCode="0.0"/>
    <numFmt numFmtId="169" formatCode="General\ &quot;W&quot;"/>
    <numFmt numFmtId="170" formatCode="General\ &quot;mm2&quot;"/>
    <numFmt numFmtId="171" formatCode="General\ &quot;Turns&quot;"/>
    <numFmt numFmtId="172" formatCode="General\ &quot;mΩ&quot;"/>
    <numFmt numFmtId="173" formatCode="0\ &quot;uF&quot;"/>
    <numFmt numFmtId="174" formatCode="General\ &quot;KΩ&quot;"/>
    <numFmt numFmtId="175" formatCode="General\ &quot;pF&quot;"/>
    <numFmt numFmtId="176" formatCode="General\ &quot;Vac&quot;"/>
    <numFmt numFmtId="177" formatCode="General\ &quot;Hz&quot;"/>
    <numFmt numFmtId="178" formatCode="General\ &quot;V&quot;"/>
    <numFmt numFmtId="179" formatCode="#.#\ &quot;KΩ&quot;"/>
    <numFmt numFmtId="180" formatCode="#\ &quot;KΩ&quot;"/>
    <numFmt numFmtId="181" formatCode="#.00\ &quot;V&quot;"/>
    <numFmt numFmtId="182" formatCode="#.0\ &quot;V&quot;"/>
    <numFmt numFmtId="183" formatCode="General\ &quot;mT&quot;"/>
    <numFmt numFmtId="184" formatCode="&quot;+/-&quot;\ \ General"/>
    <numFmt numFmtId="185" formatCode="General\ &quot;us&quot;"/>
    <numFmt numFmtId="186" formatCode="[$-409]mmmm\ d\,\ yyyy;@"/>
  </numFmts>
  <fonts count="52">
    <font>
      <sz val="12"/>
      <color theme="1"/>
      <name val="Calibri"/>
      <family val="2"/>
      <scheme val="minor"/>
    </font>
    <font>
      <sz val="9"/>
      <name val="Calibri"/>
      <family val="3"/>
      <charset val="136"/>
      <scheme val="minor"/>
    </font>
    <font>
      <b/>
      <sz val="12"/>
      <color theme="1"/>
      <name val="Calibri"/>
      <family val="1"/>
      <charset val="136"/>
      <scheme val="minor"/>
    </font>
    <font>
      <b/>
      <sz val="18"/>
      <color theme="1"/>
      <name val="Calibri"/>
      <family val="1"/>
      <charset val="136"/>
      <scheme val="minor"/>
    </font>
    <font>
      <sz val="12"/>
      <color theme="1"/>
      <name val="Calibri"/>
      <family val="1"/>
      <charset val="136"/>
      <scheme val="minor"/>
    </font>
    <font>
      <b/>
      <sz val="10"/>
      <color theme="1"/>
      <name val="Calibri"/>
      <family val="1"/>
      <charset val="136"/>
      <scheme val="minor"/>
    </font>
    <font>
      <b/>
      <sz val="12"/>
      <color theme="1"/>
      <name val="新細明體"/>
      <family val="1"/>
      <charset val="136"/>
    </font>
    <font>
      <sz val="9"/>
      <color indexed="81"/>
      <name val="Tahoma"/>
      <family val="2"/>
    </font>
    <font>
      <b/>
      <sz val="9"/>
      <color indexed="81"/>
      <name val="Tahoma"/>
      <family val="2"/>
    </font>
    <font>
      <sz val="9"/>
      <color indexed="81"/>
      <name val="新細明體"/>
      <family val="1"/>
      <charset val="136"/>
    </font>
    <font>
      <sz val="10"/>
      <color theme="1"/>
      <name val="Calibri"/>
      <family val="2"/>
      <scheme val="minor"/>
    </font>
    <font>
      <vertAlign val="subscript"/>
      <sz val="11"/>
      <color theme="1"/>
      <name val="Calibri"/>
      <family val="2"/>
      <scheme val="minor"/>
    </font>
    <font>
      <b/>
      <sz val="12"/>
      <color rgb="FF3333FF"/>
      <name val="Calibri"/>
      <family val="1"/>
      <charset val="136"/>
      <scheme val="minor"/>
    </font>
    <font>
      <sz val="12"/>
      <color theme="1"/>
      <name val="新細明體"/>
      <family val="1"/>
      <charset val="136"/>
    </font>
    <font>
      <sz val="12"/>
      <color theme="1" tint="4.9989318521683403E-2"/>
      <name val="Calibri"/>
      <family val="1"/>
      <charset val="136"/>
      <scheme val="minor"/>
    </font>
    <font>
      <sz val="12"/>
      <color theme="1" tint="4.9989318521683403E-2"/>
      <name val="Calibri"/>
      <family val="2"/>
      <scheme val="minor"/>
    </font>
    <font>
      <sz val="12"/>
      <color indexed="81"/>
      <name val="Tahoma"/>
      <family val="2"/>
    </font>
    <font>
      <b/>
      <sz val="12"/>
      <color indexed="81"/>
      <name val="Tahoma"/>
      <family val="2"/>
    </font>
    <font>
      <b/>
      <sz val="12"/>
      <color theme="1"/>
      <name val="Calibri"/>
      <family val="2"/>
      <scheme val="minor"/>
    </font>
    <font>
      <sz val="12"/>
      <color rgb="FF000000"/>
      <name val="Calibri"/>
      <family val="2"/>
    </font>
    <font>
      <b/>
      <sz val="16"/>
      <color theme="1"/>
      <name val="Calibri"/>
      <family val="2"/>
      <scheme val="minor"/>
    </font>
    <font>
      <b/>
      <sz val="14"/>
      <color rgb="FF0000CC"/>
      <name val="Calibri"/>
      <family val="2"/>
      <scheme val="minor"/>
    </font>
    <font>
      <sz val="9"/>
      <color theme="1"/>
      <name val="Calibri"/>
      <family val="2"/>
      <scheme val="minor"/>
    </font>
    <font>
      <sz val="11"/>
      <color theme="1"/>
      <name val="Calibri"/>
      <family val="2"/>
      <scheme val="minor"/>
    </font>
    <font>
      <b/>
      <sz val="11"/>
      <color rgb="FF0000CC"/>
      <name val="Calibri"/>
      <family val="2"/>
      <scheme val="minor"/>
    </font>
    <font>
      <sz val="12"/>
      <color theme="1"/>
      <name val="Calibri"/>
      <family val="2"/>
      <scheme val="minor"/>
    </font>
    <font>
      <sz val="12"/>
      <color rgb="FF0000CC"/>
      <name val="Calibri"/>
      <family val="2"/>
      <scheme val="minor"/>
    </font>
    <font>
      <vertAlign val="subscript"/>
      <sz val="12"/>
      <color theme="1"/>
      <name val="Calibri"/>
      <family val="2"/>
      <scheme val="minor"/>
    </font>
    <font>
      <b/>
      <vertAlign val="subscript"/>
      <sz val="12"/>
      <color theme="1"/>
      <name val="Calibri"/>
      <family val="2"/>
      <scheme val="minor"/>
    </font>
    <font>
      <sz val="12"/>
      <name val="Calibri"/>
      <family val="2"/>
      <scheme val="minor"/>
    </font>
    <font>
      <sz val="12"/>
      <color theme="1"/>
      <name val="Calibri"/>
      <family val="2"/>
    </font>
    <font>
      <b/>
      <sz val="14"/>
      <color rgb="FF0000CC"/>
      <name val="Calibri"/>
      <family val="1"/>
      <charset val="136"/>
      <scheme val="minor"/>
    </font>
    <font>
      <sz val="11"/>
      <color rgb="FF0000CC"/>
      <name val="Calibri"/>
      <family val="2"/>
      <scheme val="minor"/>
    </font>
    <font>
      <vertAlign val="subscript"/>
      <sz val="11"/>
      <color rgb="FF0000CC"/>
      <name val="Calibri"/>
      <family val="2"/>
      <scheme val="minor"/>
    </font>
    <font>
      <sz val="11"/>
      <name val="Calibri"/>
      <family val="2"/>
      <scheme val="minor"/>
    </font>
    <font>
      <vertAlign val="subscript"/>
      <sz val="11"/>
      <name val="Calibri"/>
      <family val="2"/>
      <scheme val="minor"/>
    </font>
    <font>
      <vertAlign val="superscript"/>
      <sz val="11"/>
      <color theme="1"/>
      <name val="Calibri"/>
      <family val="2"/>
      <scheme val="minor"/>
    </font>
    <font>
      <b/>
      <sz val="11"/>
      <color theme="1"/>
      <name val="Calibri"/>
      <family val="2"/>
      <scheme val="minor"/>
    </font>
    <font>
      <sz val="9.6"/>
      <color theme="1"/>
      <name val="新細明體"/>
      <family val="1"/>
      <charset val="136"/>
    </font>
    <font>
      <sz val="12"/>
      <color theme="1"/>
      <name val="Times New Roman"/>
      <family val="1"/>
    </font>
    <font>
      <b/>
      <vertAlign val="subscript"/>
      <sz val="18"/>
      <color theme="1"/>
      <name val="Calibri"/>
      <family val="2"/>
      <scheme val="minor"/>
    </font>
    <font>
      <sz val="12"/>
      <color rgb="FF000000"/>
      <name val="Calibri"/>
      <family val="1"/>
      <charset val="136"/>
    </font>
    <font>
      <sz val="12"/>
      <color theme="1"/>
      <name val="Arial"/>
      <family val="2"/>
    </font>
    <font>
      <b/>
      <sz val="12"/>
      <color theme="1"/>
      <name val="Arial"/>
      <family val="2"/>
    </font>
    <font>
      <vertAlign val="superscript"/>
      <sz val="10"/>
      <color theme="1"/>
      <name val="Calibri"/>
      <family val="2"/>
      <scheme val="minor"/>
    </font>
    <font>
      <sz val="11"/>
      <color theme="1"/>
      <name val="Times New Roman"/>
      <family val="1"/>
    </font>
    <font>
      <sz val="10"/>
      <color theme="1"/>
      <name val="Times New Roman"/>
      <family val="1"/>
    </font>
    <font>
      <sz val="10"/>
      <name val="Calibri"/>
      <family val="2"/>
      <scheme val="minor"/>
    </font>
    <font>
      <b/>
      <sz val="16"/>
      <color theme="1"/>
      <name val="Calibri"/>
      <family val="1"/>
      <charset val="136"/>
      <scheme val="minor"/>
    </font>
    <font>
      <b/>
      <sz val="12"/>
      <color rgb="FF0000CC"/>
      <name val="Calibri"/>
      <family val="2"/>
      <scheme val="minor"/>
    </font>
    <font>
      <sz val="12"/>
      <color rgb="FF0000CC"/>
      <name val="Calibri"/>
      <family val="1"/>
      <charset val="136"/>
      <scheme val="minor"/>
    </font>
    <font>
      <b/>
      <sz val="12"/>
      <color rgb="FF0000CC"/>
      <name val="Calibri"/>
      <family val="1"/>
      <charset val="136"/>
      <scheme val="minor"/>
    </font>
  </fonts>
  <fills count="13">
    <fill>
      <patternFill patternType="none"/>
    </fill>
    <fill>
      <patternFill patternType="gray125"/>
    </fill>
    <fill>
      <patternFill patternType="solid">
        <fgColor theme="3"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99"/>
        <bgColor indexed="64"/>
      </patternFill>
    </fill>
    <fill>
      <patternFill patternType="solid">
        <fgColor rgb="FFFFFFCC"/>
        <bgColor indexed="64"/>
      </patternFill>
    </fill>
    <fill>
      <patternFill patternType="solid">
        <fgColor rgb="FFFFFF66"/>
        <bgColor indexed="64"/>
      </patternFill>
    </fill>
    <fill>
      <patternFill patternType="solid">
        <fgColor rgb="FF92D05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FF66"/>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s>
  <cellStyleXfs count="1">
    <xf numFmtId="0" fontId="0" fillId="0" borderId="0"/>
  </cellStyleXfs>
  <cellXfs count="283">
    <xf numFmtId="0" fontId="0" fillId="0" borderId="0" xfId="0"/>
    <xf numFmtId="0" fontId="3" fillId="0" borderId="0" xfId="0" applyFont="1"/>
    <xf numFmtId="0" fontId="0" fillId="2" borderId="1" xfId="0" applyFill="1" applyBorder="1" applyAlignment="1">
      <alignment horizontal="center" vertical="center"/>
    </xf>
    <xf numFmtId="0" fontId="0" fillId="0" borderId="0" xfId="0" applyBorder="1"/>
    <xf numFmtId="0" fontId="2" fillId="0" borderId="1" xfId="0" applyFont="1" applyBorder="1" applyAlignment="1">
      <alignment horizontal="center"/>
    </xf>
    <xf numFmtId="164" fontId="0" fillId="4" borderId="1" xfId="0" applyNumberFormat="1" applyFill="1" applyBorder="1" applyAlignment="1">
      <alignment horizontal="center" vertical="center"/>
    </xf>
    <xf numFmtId="0" fontId="0" fillId="0" borderId="0" xfId="0" applyAlignment="1">
      <alignment vertical="center"/>
    </xf>
    <xf numFmtId="0" fontId="6" fillId="0" borderId="1" xfId="0" applyFont="1" applyBorder="1" applyAlignment="1">
      <alignment horizontal="center"/>
    </xf>
    <xf numFmtId="0" fontId="0" fillId="0" borderId="0" xfId="0" applyAlignment="1">
      <alignment horizontal="center" vertical="center"/>
    </xf>
    <xf numFmtId="0" fontId="0" fillId="4" borderId="1" xfId="0" applyFill="1" applyBorder="1" applyAlignment="1">
      <alignment horizontal="center" vertical="center"/>
    </xf>
    <xf numFmtId="0" fontId="0" fillId="8" borderId="1" xfId="0"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0" fontId="0" fillId="0" borderId="2" xfId="0" applyBorder="1"/>
    <xf numFmtId="0" fontId="0" fillId="0" borderId="2" xfId="0" applyBorder="1" applyAlignment="1">
      <alignment horizontal="center" vertical="center"/>
    </xf>
    <xf numFmtId="0" fontId="0" fillId="0" borderId="10" xfId="0" applyBorder="1"/>
    <xf numFmtId="0" fontId="0" fillId="0" borderId="10" xfId="0" applyFill="1" applyBorder="1"/>
    <xf numFmtId="0" fontId="0" fillId="0" borderId="13" xfId="0" applyFill="1" applyBorder="1"/>
    <xf numFmtId="0" fontId="0" fillId="0" borderId="14" xfId="0" applyBorder="1"/>
    <xf numFmtId="0" fontId="0" fillId="0" borderId="21" xfId="0" applyFill="1" applyBorder="1"/>
    <xf numFmtId="0" fontId="0" fillId="0" borderId="5" xfId="0" applyBorder="1"/>
    <xf numFmtId="0" fontId="0" fillId="0" borderId="5" xfId="0" applyBorder="1" applyAlignment="1">
      <alignment horizontal="center" vertical="center"/>
    </xf>
    <xf numFmtId="0" fontId="0" fillId="0" borderId="16" xfId="0" applyFill="1" applyBorder="1"/>
    <xf numFmtId="0" fontId="0" fillId="0" borderId="21" xfId="0" applyBorder="1"/>
    <xf numFmtId="0" fontId="0" fillId="0" borderId="0" xfId="0" applyFill="1" applyBorder="1"/>
    <xf numFmtId="0" fontId="0" fillId="0" borderId="7" xfId="0" applyBorder="1"/>
    <xf numFmtId="0" fontId="0" fillId="0" borderId="8" xfId="0" applyBorder="1"/>
    <xf numFmtId="0" fontId="4" fillId="0" borderId="23" xfId="0" applyFont="1" applyBorder="1" applyAlignment="1">
      <alignment horizontal="left" vertical="center"/>
    </xf>
    <xf numFmtId="165" fontId="4" fillId="0" borderId="24" xfId="0" quotePrefix="1" applyNumberFormat="1" applyFont="1" applyBorder="1" applyAlignment="1">
      <alignment horizontal="center" vertical="center"/>
    </xf>
    <xf numFmtId="0" fontId="12" fillId="0" borderId="14" xfId="0" applyFont="1"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22" xfId="0" applyBorder="1" applyAlignment="1">
      <alignment horizontal="center" vertical="center"/>
    </xf>
    <xf numFmtId="0" fontId="2" fillId="0" borderId="25" xfId="0" applyFont="1"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xf>
    <xf numFmtId="167" fontId="0" fillId="8" borderId="1" xfId="0" applyNumberFormat="1" applyFill="1" applyBorder="1" applyAlignment="1">
      <alignment horizontal="center" vertical="center"/>
    </xf>
    <xf numFmtId="165" fontId="4" fillId="0" borderId="14" xfId="0" quotePrefix="1" applyNumberFormat="1" applyFont="1" applyBorder="1" applyAlignment="1">
      <alignment horizontal="center" vertical="center"/>
    </xf>
    <xf numFmtId="0" fontId="2" fillId="0" borderId="1" xfId="0" applyFont="1" applyBorder="1" applyAlignment="1">
      <alignment horizontal="center" vertical="center" wrapText="1"/>
    </xf>
    <xf numFmtId="0" fontId="14" fillId="0" borderId="1" xfId="0" applyFont="1" applyBorder="1" applyAlignment="1">
      <alignment horizontal="left" vertical="center"/>
    </xf>
    <xf numFmtId="0" fontId="14" fillId="0" borderId="1" xfId="0" applyFont="1" applyBorder="1" applyAlignment="1">
      <alignment horizontal="center" vertical="center"/>
    </xf>
    <xf numFmtId="0" fontId="14" fillId="0" borderId="10" xfId="0" applyFont="1" applyBorder="1" applyAlignment="1">
      <alignment horizontal="left" vertical="center"/>
    </xf>
    <xf numFmtId="0" fontId="12" fillId="0" borderId="11" xfId="0" applyFont="1" applyBorder="1" applyAlignment="1">
      <alignment horizontal="left" vertical="center"/>
    </xf>
    <xf numFmtId="0" fontId="14" fillId="0" borderId="11" xfId="0" applyFont="1" applyBorder="1" applyAlignment="1">
      <alignment horizontal="center" vertical="center"/>
    </xf>
    <xf numFmtId="0" fontId="15" fillId="0" borderId="1" xfId="0" applyFont="1" applyBorder="1" applyAlignment="1">
      <alignment horizontal="center" vertical="center"/>
    </xf>
    <xf numFmtId="0" fontId="0" fillId="9" borderId="1" xfId="0" applyFill="1" applyBorder="1" applyAlignment="1">
      <alignment horizontal="center" vertical="center"/>
    </xf>
    <xf numFmtId="0" fontId="0" fillId="9" borderId="14" xfId="0" applyFill="1" applyBorder="1" applyAlignment="1">
      <alignment horizontal="center" vertical="center"/>
    </xf>
    <xf numFmtId="0" fontId="15" fillId="0" borderId="8" xfId="0" applyFont="1" applyBorder="1" applyAlignment="1">
      <alignment horizontal="center" vertical="center"/>
    </xf>
    <xf numFmtId="0" fontId="15" fillId="9" borderId="5" xfId="0" applyFont="1" applyFill="1" applyBorder="1" applyAlignment="1">
      <alignment horizontal="center" vertical="center"/>
    </xf>
    <xf numFmtId="0" fontId="15" fillId="9" borderId="14"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2" fillId="0" borderId="8" xfId="0" applyFont="1" applyBorder="1" applyAlignment="1">
      <alignment horizontal="center" vertical="center"/>
    </xf>
    <xf numFmtId="0" fontId="0" fillId="7" borderId="0" xfId="0" applyFill="1"/>
    <xf numFmtId="2" fontId="0" fillId="10" borderId="0" xfId="0" applyNumberFormat="1" applyFill="1"/>
    <xf numFmtId="1" fontId="0" fillId="10" borderId="0" xfId="0" applyNumberFormat="1" applyFill="1"/>
    <xf numFmtId="168" fontId="0" fillId="10" borderId="0" xfId="0" applyNumberFormat="1" applyFill="1"/>
    <xf numFmtId="1" fontId="0" fillId="2" borderId="1" xfId="0" applyNumberFormat="1" applyFill="1" applyBorder="1" applyAlignment="1">
      <alignment horizontal="center" vertical="center"/>
    </xf>
    <xf numFmtId="11" fontId="0" fillId="0" borderId="0" xfId="0" applyNumberFormat="1"/>
    <xf numFmtId="164" fontId="0" fillId="2" borderId="1" xfId="0" applyNumberFormat="1" applyFill="1" applyBorder="1" applyAlignment="1">
      <alignment horizontal="center" vertical="center"/>
    </xf>
    <xf numFmtId="2" fontId="0" fillId="2" borderId="1" xfId="0" applyNumberFormat="1" applyFill="1" applyBorder="1" applyAlignment="1">
      <alignment horizontal="center" vertical="center"/>
    </xf>
    <xf numFmtId="168" fontId="0" fillId="2" borderId="1" xfId="0" applyNumberFormat="1" applyFill="1" applyBorder="1" applyAlignment="1">
      <alignment horizontal="center" vertical="center"/>
    </xf>
    <xf numFmtId="164" fontId="4" fillId="2" borderId="1" xfId="0" applyNumberFormat="1" applyFont="1" applyFill="1" applyBorder="1" applyAlignment="1">
      <alignment horizontal="center" vertical="center"/>
    </xf>
    <xf numFmtId="0" fontId="29" fillId="8" borderId="1" xfId="0" applyFont="1" applyFill="1" applyBorder="1" applyAlignment="1">
      <alignment horizontal="center" vertical="center"/>
    </xf>
    <xf numFmtId="168" fontId="0" fillId="0" borderId="0" xfId="0" applyNumberFormat="1"/>
    <xf numFmtId="164" fontId="0" fillId="8" borderId="1" xfId="0" applyNumberFormat="1" applyFill="1" applyBorder="1" applyAlignment="1">
      <alignment horizontal="center" vertical="center"/>
    </xf>
    <xf numFmtId="0" fontId="25" fillId="0" borderId="10" xfId="0" applyFont="1" applyBorder="1" applyAlignment="1">
      <alignment horizontal="center" vertical="center"/>
    </xf>
    <xf numFmtId="0" fontId="25" fillId="0" borderId="1" xfId="0" applyFont="1" applyBorder="1" applyAlignment="1">
      <alignment horizontal="center" vertical="center"/>
    </xf>
    <xf numFmtId="0" fontId="25" fillId="0" borderId="11" xfId="0" applyFont="1" applyBorder="1" applyAlignment="1">
      <alignment horizontal="center" vertical="center"/>
    </xf>
    <xf numFmtId="0" fontId="25" fillId="0" borderId="11" xfId="0" applyFont="1" applyBorder="1" applyAlignment="1">
      <alignment horizontal="left" vertical="center"/>
    </xf>
    <xf numFmtId="0" fontId="25" fillId="0" borderId="1" xfId="0" applyFont="1" applyBorder="1" applyAlignment="1">
      <alignment horizontal="center" vertical="center" wrapText="1"/>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25" fillId="0" borderId="15" xfId="0" applyFont="1" applyBorder="1" applyAlignment="1">
      <alignment horizontal="left" vertical="center"/>
    </xf>
    <xf numFmtId="0" fontId="25" fillId="0" borderId="0" xfId="0" applyFont="1" applyAlignment="1">
      <alignment horizontal="center" vertical="center"/>
    </xf>
    <xf numFmtId="0" fontId="25" fillId="0" borderId="11" xfId="0" applyFont="1" applyBorder="1" applyAlignment="1">
      <alignment horizontal="left" vertical="center" wrapText="1"/>
    </xf>
    <xf numFmtId="167" fontId="0" fillId="2" borderId="1" xfId="0" applyNumberFormat="1" applyFill="1" applyBorder="1" applyAlignment="1">
      <alignment horizontal="center" vertical="center"/>
    </xf>
    <xf numFmtId="0" fontId="0" fillId="3" borderId="1" xfId="0" applyFont="1" applyFill="1" applyBorder="1" applyAlignment="1" applyProtection="1">
      <alignment horizontal="center" vertical="center"/>
      <protection locked="0"/>
    </xf>
    <xf numFmtId="184" fontId="0" fillId="3" borderId="1" xfId="0" applyNumberFormat="1" applyFont="1" applyFill="1" applyBorder="1" applyAlignment="1" applyProtection="1">
      <alignment horizontal="center" vertical="center"/>
      <protection locked="0"/>
    </xf>
    <xf numFmtId="0" fontId="26" fillId="3" borderId="1" xfId="0" applyFont="1" applyFill="1" applyBorder="1" applyAlignment="1" applyProtection="1">
      <alignment horizontal="center" vertical="center"/>
      <protection locked="0"/>
    </xf>
    <xf numFmtId="164" fontId="26" fillId="10" borderId="1" xfId="0" applyNumberFormat="1" applyFont="1" applyFill="1" applyBorder="1" applyAlignment="1" applyProtection="1">
      <alignment horizontal="center" vertical="center"/>
      <protection hidden="1"/>
    </xf>
    <xf numFmtId="1" fontId="0" fillId="10" borderId="1" xfId="0" applyNumberFormat="1" applyFont="1" applyFill="1" applyBorder="1" applyAlignment="1" applyProtection="1">
      <alignment horizontal="center" vertical="center"/>
      <protection hidden="1"/>
    </xf>
    <xf numFmtId="2" fontId="0" fillId="10" borderId="1" xfId="0" applyNumberFormat="1" applyFont="1" applyFill="1" applyBorder="1" applyAlignment="1" applyProtection="1">
      <alignment horizontal="center" vertical="center"/>
      <protection hidden="1"/>
    </xf>
    <xf numFmtId="0" fontId="0" fillId="10" borderId="1" xfId="0" applyFont="1" applyFill="1" applyBorder="1" applyAlignment="1" applyProtection="1">
      <alignment horizontal="center" vertical="center"/>
      <protection hidden="1"/>
    </xf>
    <xf numFmtId="2" fontId="26" fillId="10" borderId="1" xfId="0" applyNumberFormat="1" applyFont="1" applyFill="1" applyBorder="1" applyAlignment="1" applyProtection="1">
      <alignment horizontal="center" vertical="center"/>
      <protection hidden="1"/>
    </xf>
    <xf numFmtId="1" fontId="26" fillId="10" borderId="1" xfId="0" applyNumberFormat="1" applyFont="1" applyFill="1" applyBorder="1" applyAlignment="1" applyProtection="1">
      <alignment horizontal="center" vertical="center"/>
      <protection hidden="1"/>
    </xf>
    <xf numFmtId="168" fontId="0" fillId="10" borderId="1" xfId="0" applyNumberFormat="1" applyFont="1" applyFill="1" applyBorder="1" applyAlignment="1" applyProtection="1">
      <alignment vertical="center"/>
      <protection hidden="1"/>
    </xf>
    <xf numFmtId="0" fontId="20" fillId="0" borderId="1" xfId="0" applyFont="1" applyBorder="1" applyAlignment="1" applyProtection="1">
      <alignment horizontal="center" vertical="center"/>
      <protection hidden="1"/>
    </xf>
    <xf numFmtId="0" fontId="0" fillId="0" borderId="0" xfId="0" applyAlignment="1" applyProtection="1">
      <alignment vertical="center"/>
      <protection hidden="1"/>
    </xf>
    <xf numFmtId="0" fontId="23" fillId="0" borderId="1" xfId="0" applyFont="1" applyBorder="1" applyAlignment="1" applyProtection="1">
      <alignment horizontal="left" vertical="center" wrapText="1" indent="1"/>
      <protection hidden="1"/>
    </xf>
    <xf numFmtId="0" fontId="23" fillId="0" borderId="1" xfId="0" applyFont="1" applyBorder="1" applyAlignment="1" applyProtection="1">
      <alignment horizontal="center" vertical="center" wrapText="1"/>
      <protection hidden="1"/>
    </xf>
    <xf numFmtId="0" fontId="23" fillId="0" borderId="1" xfId="0" applyFont="1" applyBorder="1" applyAlignment="1" applyProtection="1">
      <alignment horizontal="left" vertical="center" indent="1"/>
      <protection hidden="1"/>
    </xf>
    <xf numFmtId="0" fontId="0" fillId="0" borderId="1" xfId="0" applyFont="1" applyBorder="1" applyAlignment="1" applyProtection="1">
      <alignment vertical="center"/>
      <protection hidden="1"/>
    </xf>
    <xf numFmtId="0" fontId="23" fillId="0" borderId="1" xfId="0" quotePrefix="1" applyFont="1" applyBorder="1" applyAlignment="1" applyProtection="1">
      <alignment horizontal="center" vertical="center" wrapText="1"/>
      <protection hidden="1"/>
    </xf>
    <xf numFmtId="0" fontId="32" fillId="0" borderId="1" xfId="0" applyFont="1" applyBorder="1" applyAlignment="1" applyProtection="1">
      <alignment horizontal="left" vertical="center" wrapText="1" indent="1"/>
      <protection hidden="1"/>
    </xf>
    <xf numFmtId="0" fontId="32" fillId="0" borderId="1" xfId="0" applyFont="1" applyBorder="1" applyAlignment="1" applyProtection="1">
      <alignment horizontal="center" vertical="center" wrapText="1"/>
      <protection hidden="1"/>
    </xf>
    <xf numFmtId="0" fontId="32" fillId="0" borderId="1" xfId="0" applyFont="1" applyBorder="1" applyAlignment="1" applyProtection="1">
      <alignment horizontal="left" vertical="center" indent="1"/>
      <protection hidden="1"/>
    </xf>
    <xf numFmtId="0" fontId="0" fillId="0" borderId="1" xfId="0" applyFont="1" applyBorder="1" applyAlignment="1" applyProtection="1">
      <alignment horizontal="left" vertical="center" wrapText="1" indent="1"/>
      <protection hidden="1"/>
    </xf>
    <xf numFmtId="0" fontId="0" fillId="0" borderId="1" xfId="0" quotePrefix="1" applyFont="1" applyBorder="1" applyAlignment="1" applyProtection="1">
      <alignment vertical="center" wrapText="1"/>
      <protection hidden="1"/>
    </xf>
    <xf numFmtId="0" fontId="32" fillId="0" borderId="1" xfId="0" quotePrefix="1" applyFont="1" applyBorder="1" applyAlignment="1" applyProtection="1">
      <alignment horizontal="center" vertical="center"/>
      <protection hidden="1"/>
    </xf>
    <xf numFmtId="0" fontId="32" fillId="0" borderId="1" xfId="0" applyFont="1" applyBorder="1" applyAlignment="1" applyProtection="1">
      <alignment horizontal="center" vertical="center"/>
      <protection hidden="1"/>
    </xf>
    <xf numFmtId="0" fontId="23" fillId="0" borderId="1" xfId="0" applyFont="1" applyBorder="1" applyAlignment="1" applyProtection="1">
      <alignment horizontal="center" vertical="center"/>
      <protection hidden="1"/>
    </xf>
    <xf numFmtId="0" fontId="34" fillId="0" borderId="1" xfId="0" applyFont="1" applyBorder="1" applyAlignment="1" applyProtection="1">
      <alignment horizontal="left" vertical="center" wrapText="1" indent="1"/>
      <protection hidden="1"/>
    </xf>
    <xf numFmtId="0" fontId="34" fillId="0" borderId="1" xfId="0" applyFont="1" applyBorder="1" applyAlignment="1" applyProtection="1">
      <alignment horizontal="center" vertical="center" wrapText="1"/>
      <protection hidden="1"/>
    </xf>
    <xf numFmtId="0" fontId="0" fillId="0" borderId="0" xfId="0" applyFont="1" applyAlignment="1" applyProtection="1">
      <alignment vertical="center"/>
      <protection hidden="1"/>
    </xf>
    <xf numFmtId="0" fontId="23" fillId="0" borderId="0" xfId="0" applyFont="1" applyAlignment="1" applyProtection="1">
      <alignment vertical="center"/>
      <protection hidden="1"/>
    </xf>
    <xf numFmtId="0" fontId="0" fillId="0" borderId="0" xfId="0" applyProtection="1">
      <protection hidden="1"/>
    </xf>
    <xf numFmtId="0" fontId="0" fillId="0" borderId="10" xfId="0" applyBorder="1" applyProtection="1">
      <protection hidden="1"/>
    </xf>
    <xf numFmtId="0" fontId="0" fillId="0" borderId="1" xfId="0" applyBorder="1" applyAlignment="1" applyProtection="1">
      <alignment horizontal="center" vertical="center"/>
      <protection hidden="1"/>
    </xf>
    <xf numFmtId="176" fontId="0" fillId="0" borderId="11" xfId="0" applyNumberFormat="1" applyFont="1" applyBorder="1" applyAlignment="1" applyProtection="1">
      <alignment horizontal="right" vertical="center" indent="1"/>
      <protection hidden="1"/>
    </xf>
    <xf numFmtId="0" fontId="0" fillId="0" borderId="1" xfId="0" quotePrefix="1" applyBorder="1" applyAlignment="1" applyProtection="1">
      <alignment horizontal="center" vertical="center"/>
      <protection hidden="1"/>
    </xf>
    <xf numFmtId="177" fontId="0" fillId="0" borderId="11" xfId="0" applyNumberFormat="1" applyFont="1" applyBorder="1" applyAlignment="1" applyProtection="1">
      <alignment horizontal="right" vertical="center" indent="1"/>
      <protection hidden="1"/>
    </xf>
    <xf numFmtId="178" fontId="0" fillId="0" borderId="11" xfId="0" applyNumberFormat="1" applyFont="1" applyBorder="1" applyAlignment="1" applyProtection="1">
      <alignment horizontal="right" vertical="center" indent="1"/>
      <protection hidden="1"/>
    </xf>
    <xf numFmtId="0" fontId="0" fillId="0" borderId="10" xfId="0" applyBorder="1" applyAlignment="1" applyProtection="1">
      <alignment vertical="center"/>
      <protection hidden="1"/>
    </xf>
    <xf numFmtId="0" fontId="0" fillId="0" borderId="1" xfId="0" applyNumberFormat="1" applyBorder="1" applyAlignment="1" applyProtection="1">
      <alignment horizontal="center" vertical="center"/>
      <protection hidden="1"/>
    </xf>
    <xf numFmtId="173" fontId="0" fillId="0" borderId="11" xfId="0" applyNumberFormat="1" applyFont="1" applyFill="1" applyBorder="1" applyAlignment="1" applyProtection="1">
      <alignment horizontal="right" vertical="center" indent="1"/>
      <protection hidden="1"/>
    </xf>
    <xf numFmtId="0" fontId="0" fillId="0" borderId="10" xfId="0" applyBorder="1" applyAlignment="1" applyProtection="1">
      <alignment horizontal="left" vertical="center" indent="2"/>
      <protection hidden="1"/>
    </xf>
    <xf numFmtId="166" fontId="0" fillId="0" borderId="11" xfId="0" applyNumberFormat="1" applyFont="1" applyFill="1" applyBorder="1" applyAlignment="1" applyProtection="1">
      <alignment horizontal="right" vertical="center" indent="1"/>
      <protection hidden="1"/>
    </xf>
    <xf numFmtId="170" fontId="0" fillId="0" borderId="11" xfId="0" applyNumberFormat="1" applyFont="1" applyFill="1" applyBorder="1" applyAlignment="1" applyProtection="1">
      <alignment horizontal="right" vertical="center" indent="1"/>
      <protection hidden="1"/>
    </xf>
    <xf numFmtId="171" fontId="0" fillId="0" borderId="11" xfId="0" applyNumberFormat="1" applyFont="1" applyFill="1" applyBorder="1" applyAlignment="1" applyProtection="1">
      <alignment horizontal="right" vertical="center" indent="1"/>
      <protection hidden="1"/>
    </xf>
    <xf numFmtId="2" fontId="0" fillId="0" borderId="11" xfId="0" applyNumberFormat="1" applyFont="1" applyFill="1" applyBorder="1" applyAlignment="1" applyProtection="1">
      <alignment horizontal="right" vertical="center" indent="1"/>
      <protection hidden="1"/>
    </xf>
    <xf numFmtId="0" fontId="0" fillId="0" borderId="1" xfId="0" quotePrefix="1" applyNumberFormat="1" applyBorder="1" applyAlignment="1" applyProtection="1">
      <alignment horizontal="center" vertical="center"/>
      <protection hidden="1"/>
    </xf>
    <xf numFmtId="183" fontId="0" fillId="0" borderId="11" xfId="0" applyNumberFormat="1" applyFont="1" applyFill="1" applyBorder="1" applyAlignment="1" applyProtection="1">
      <alignment horizontal="right" vertical="center" indent="1"/>
      <protection hidden="1"/>
    </xf>
    <xf numFmtId="182" fontId="0" fillId="0" borderId="11" xfId="0" applyNumberFormat="1" applyFont="1" applyFill="1" applyBorder="1" applyAlignment="1" applyProtection="1">
      <alignment horizontal="right" vertical="center" wrapText="1" indent="1"/>
      <protection hidden="1"/>
    </xf>
    <xf numFmtId="180" fontId="0" fillId="0" borderId="11" xfId="0" applyNumberFormat="1" applyFont="1" applyFill="1" applyBorder="1" applyAlignment="1" applyProtection="1">
      <alignment horizontal="right" vertical="center" indent="1"/>
      <protection hidden="1"/>
    </xf>
    <xf numFmtId="179" fontId="0" fillId="0" borderId="11" xfId="0" applyNumberFormat="1" applyFont="1" applyFill="1" applyBorder="1" applyAlignment="1" applyProtection="1">
      <alignment horizontal="right" vertical="center" indent="1"/>
      <protection hidden="1"/>
    </xf>
    <xf numFmtId="181" fontId="0" fillId="0" borderId="11" xfId="0" applyNumberFormat="1" applyFont="1" applyFill="1" applyBorder="1" applyAlignment="1" applyProtection="1">
      <alignment horizontal="right" vertical="center" indent="1"/>
      <protection hidden="1"/>
    </xf>
    <xf numFmtId="181" fontId="0" fillId="0" borderId="11" xfId="0" applyNumberFormat="1" applyFont="1" applyFill="1" applyBorder="1" applyAlignment="1" applyProtection="1">
      <alignment horizontal="right" vertical="center" wrapText="1" indent="1"/>
      <protection hidden="1"/>
    </xf>
    <xf numFmtId="0" fontId="0" fillId="0" borderId="10" xfId="0" applyBorder="1" applyAlignment="1" applyProtection="1">
      <alignment horizontal="left" vertical="center" indent="1"/>
      <protection hidden="1"/>
    </xf>
    <xf numFmtId="172" fontId="0" fillId="0" borderId="11" xfId="0" applyNumberFormat="1" applyFont="1" applyFill="1" applyBorder="1" applyAlignment="1" applyProtection="1">
      <alignment horizontal="right" vertical="center" indent="1"/>
      <protection hidden="1"/>
    </xf>
    <xf numFmtId="174" fontId="0" fillId="0" borderId="11" xfId="0" applyNumberFormat="1" applyFont="1" applyFill="1" applyBorder="1" applyAlignment="1" applyProtection="1">
      <alignment horizontal="right" vertical="center" indent="1"/>
      <protection hidden="1"/>
    </xf>
    <xf numFmtId="175" fontId="0" fillId="0" borderId="11" xfId="0" applyNumberFormat="1" applyFont="1" applyFill="1" applyBorder="1" applyAlignment="1" applyProtection="1">
      <alignment horizontal="right" vertical="center" indent="1"/>
      <protection hidden="1"/>
    </xf>
    <xf numFmtId="182" fontId="0" fillId="0" borderId="11" xfId="0" applyNumberFormat="1" applyFont="1" applyFill="1" applyBorder="1" applyAlignment="1" applyProtection="1">
      <alignment horizontal="right" vertical="center" indent="1"/>
      <protection hidden="1"/>
    </xf>
    <xf numFmtId="0" fontId="0" fillId="0" borderId="1" xfId="0" applyFont="1" applyBorder="1" applyAlignment="1" applyProtection="1">
      <alignment horizontal="left" vertical="center" indent="1"/>
      <protection hidden="1"/>
    </xf>
    <xf numFmtId="0" fontId="26" fillId="10" borderId="1" xfId="0" applyFont="1" applyFill="1" applyBorder="1" applyAlignment="1" applyProtection="1">
      <alignment vertical="center"/>
      <protection hidden="1"/>
    </xf>
    <xf numFmtId="168" fontId="0" fillId="10" borderId="1" xfId="0" applyNumberFormat="1" applyFont="1" applyFill="1" applyBorder="1" applyAlignment="1" applyProtection="1">
      <alignment horizontal="center" vertical="center"/>
      <protection hidden="1"/>
    </xf>
    <xf numFmtId="0" fontId="2"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3"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39" fillId="0" borderId="1" xfId="0" applyFont="1" applyBorder="1" applyAlignment="1" applyProtection="1">
      <alignment vertical="center"/>
      <protection hidden="1"/>
    </xf>
    <xf numFmtId="0" fontId="39" fillId="0" borderId="1" xfId="0" applyFont="1" applyBorder="1" applyAlignment="1" applyProtection="1">
      <alignment horizontal="center" vertical="center"/>
      <protection hidden="1"/>
    </xf>
    <xf numFmtId="0" fontId="39" fillId="0" borderId="1" xfId="0" applyFont="1" applyBorder="1" applyAlignment="1" applyProtection="1">
      <alignment horizontal="center" vertical="center" wrapText="1"/>
      <protection hidden="1"/>
    </xf>
    <xf numFmtId="0" fontId="39" fillId="0" borderId="0" xfId="0" applyFont="1"/>
    <xf numFmtId="0" fontId="5" fillId="0" borderId="1" xfId="0" applyFont="1" applyBorder="1" applyAlignment="1" applyProtection="1">
      <alignment horizontal="center" vertical="center" wrapText="1"/>
      <protection hidden="1"/>
    </xf>
    <xf numFmtId="2" fontId="4" fillId="2" borderId="1" xfId="0" applyNumberFormat="1" applyFont="1" applyFill="1" applyBorder="1" applyAlignment="1" applyProtection="1">
      <alignment horizontal="center" vertical="center"/>
      <protection hidden="1"/>
    </xf>
    <xf numFmtId="164" fontId="4" fillId="2" borderId="1" xfId="0" applyNumberFormat="1" applyFont="1" applyFill="1" applyBorder="1" applyAlignment="1" applyProtection="1">
      <alignment horizontal="center"/>
      <protection hidden="1"/>
    </xf>
    <xf numFmtId="2" fontId="4" fillId="2" borderId="1" xfId="0" applyNumberFormat="1" applyFont="1" applyFill="1" applyBorder="1" applyAlignment="1" applyProtection="1">
      <alignment horizontal="center"/>
      <protection hidden="1"/>
    </xf>
    <xf numFmtId="2" fontId="0" fillId="11" borderId="1" xfId="0" applyNumberFormat="1" applyFill="1" applyBorder="1" applyAlignment="1" applyProtection="1">
      <alignment horizontal="center"/>
      <protection hidden="1"/>
    </xf>
    <xf numFmtId="2" fontId="4" fillId="11" borderId="1" xfId="0" applyNumberFormat="1" applyFont="1" applyFill="1" applyBorder="1" applyAlignment="1" applyProtection="1">
      <alignment horizontal="center"/>
      <protection hidden="1"/>
    </xf>
    <xf numFmtId="2" fontId="4" fillId="5" borderId="1" xfId="0" applyNumberFormat="1" applyFont="1" applyFill="1" applyBorder="1" applyAlignment="1" applyProtection="1">
      <alignment horizontal="center"/>
      <protection hidden="1"/>
    </xf>
    <xf numFmtId="2" fontId="0" fillId="2" borderId="1" xfId="0" applyNumberFormat="1" applyFont="1" applyFill="1" applyBorder="1" applyAlignment="1" applyProtection="1">
      <alignment horizontal="center" vertical="center"/>
      <protection hidden="1"/>
    </xf>
    <xf numFmtId="164" fontId="0" fillId="2" borderId="1" xfId="0" applyNumberFormat="1" applyFont="1" applyFill="1" applyBorder="1" applyAlignment="1" applyProtection="1">
      <alignment horizontal="center"/>
      <protection hidden="1"/>
    </xf>
    <xf numFmtId="2" fontId="0" fillId="2" borderId="1" xfId="0" applyNumberFormat="1" applyFont="1" applyFill="1" applyBorder="1" applyAlignment="1" applyProtection="1">
      <alignment horizontal="center"/>
      <protection hidden="1"/>
    </xf>
    <xf numFmtId="2" fontId="0" fillId="11" borderId="1" xfId="0" applyNumberFormat="1" applyFont="1" applyFill="1" applyBorder="1" applyAlignment="1" applyProtection="1">
      <alignment horizontal="center"/>
      <protection hidden="1"/>
    </xf>
    <xf numFmtId="2" fontId="0" fillId="5" borderId="1" xfId="0" applyNumberFormat="1" applyFont="1" applyFill="1" applyBorder="1" applyAlignment="1" applyProtection="1">
      <alignment horizontal="center"/>
      <protection hidden="1"/>
    </xf>
    <xf numFmtId="0" fontId="0" fillId="0" borderId="0" xfId="0" applyFont="1" applyProtection="1">
      <protection hidden="1"/>
    </xf>
    <xf numFmtId="2" fontId="18" fillId="2" borderId="1" xfId="0" applyNumberFormat="1" applyFont="1" applyFill="1" applyBorder="1" applyAlignment="1" applyProtection="1">
      <alignment horizontal="center" vertical="center"/>
      <protection hidden="1"/>
    </xf>
    <xf numFmtId="164" fontId="18" fillId="2" borderId="1" xfId="0" applyNumberFormat="1" applyFont="1" applyFill="1" applyBorder="1" applyAlignment="1" applyProtection="1">
      <alignment horizontal="center"/>
      <protection hidden="1"/>
    </xf>
    <xf numFmtId="2" fontId="18" fillId="2" borderId="1" xfId="0" applyNumberFormat="1" applyFont="1" applyFill="1" applyBorder="1" applyAlignment="1" applyProtection="1">
      <alignment horizontal="center"/>
      <protection hidden="1"/>
    </xf>
    <xf numFmtId="2" fontId="18" fillId="11" borderId="1" xfId="0" applyNumberFormat="1" applyFont="1" applyFill="1" applyBorder="1" applyAlignment="1" applyProtection="1">
      <alignment horizontal="center"/>
      <protection hidden="1"/>
    </xf>
    <xf numFmtId="2" fontId="18" fillId="5" borderId="1" xfId="0" applyNumberFormat="1" applyFont="1" applyFill="1" applyBorder="1" applyAlignment="1" applyProtection="1">
      <alignment horizontal="center"/>
      <protection hidden="1"/>
    </xf>
    <xf numFmtId="0" fontId="18" fillId="0" borderId="0" xfId="0" applyFont="1" applyProtection="1">
      <protection hidden="1"/>
    </xf>
    <xf numFmtId="0" fontId="0" fillId="0" borderId="0" xfId="0" applyBorder="1" applyProtection="1">
      <protection hidden="1"/>
    </xf>
    <xf numFmtId="0" fontId="41" fillId="12" borderId="1" xfId="0" applyFont="1" applyFill="1" applyBorder="1" applyAlignment="1">
      <alignment horizontal="center" vertical="center"/>
    </xf>
    <xf numFmtId="0" fontId="19" fillId="0" borderId="1" xfId="0" applyFont="1" applyFill="1" applyBorder="1" applyAlignment="1">
      <alignment horizontal="center" vertical="center" wrapText="1"/>
    </xf>
    <xf numFmtId="2" fontId="0" fillId="0" borderId="0" xfId="0" applyNumberFormat="1" applyBorder="1" applyProtection="1">
      <protection hidden="1"/>
    </xf>
    <xf numFmtId="0" fontId="26" fillId="0" borderId="0" xfId="0" applyFont="1"/>
    <xf numFmtId="0" fontId="26" fillId="0" borderId="0" xfId="0" applyFont="1" applyFill="1"/>
    <xf numFmtId="0" fontId="2" fillId="0" borderId="3" xfId="0" applyFont="1" applyBorder="1" applyAlignment="1" applyProtection="1">
      <alignment vertical="center"/>
      <protection hidden="1"/>
    </xf>
    <xf numFmtId="0" fontId="2" fillId="0" borderId="4" xfId="0" applyFont="1" applyBorder="1" applyAlignment="1" applyProtection="1">
      <alignment vertical="center"/>
      <protection hidden="1"/>
    </xf>
    <xf numFmtId="164" fontId="0" fillId="0" borderId="0" xfId="0" applyNumberFormat="1"/>
    <xf numFmtId="185" fontId="39" fillId="0" borderId="1" xfId="0" applyNumberFormat="1" applyFont="1" applyBorder="1" applyAlignment="1" applyProtection="1">
      <alignment vertical="center"/>
      <protection hidden="1"/>
    </xf>
    <xf numFmtId="185" fontId="0" fillId="0" borderId="1" xfId="0" applyNumberFormat="1" applyBorder="1"/>
    <xf numFmtId="185" fontId="0" fillId="0" borderId="0" xfId="0" applyNumberFormat="1"/>
    <xf numFmtId="2" fontId="0" fillId="6" borderId="1" xfId="0" applyNumberFormat="1" applyFont="1" applyFill="1" applyBorder="1" applyAlignment="1" applyProtection="1">
      <alignment horizontal="center" vertical="center"/>
      <protection hidden="1"/>
    </xf>
    <xf numFmtId="0" fontId="0" fillId="0" borderId="0" xfId="0" applyAlignment="1" applyProtection="1">
      <alignment horizontal="left" vertical="center"/>
      <protection hidden="1"/>
    </xf>
    <xf numFmtId="0" fontId="0" fillId="3" borderId="0" xfId="0" applyFill="1" applyAlignment="1" applyProtection="1">
      <alignment horizontal="left" vertical="center"/>
      <protection hidden="1"/>
    </xf>
    <xf numFmtId="0" fontId="0" fillId="0" borderId="0" xfId="0" applyFill="1" applyAlignment="1" applyProtection="1">
      <alignment horizontal="left" vertical="center"/>
      <protection hidden="1"/>
    </xf>
    <xf numFmtId="0" fontId="37" fillId="0" borderId="1" xfId="0" applyFont="1" applyBorder="1" applyAlignment="1" applyProtection="1">
      <alignment horizontal="left" vertical="center" wrapText="1" indent="1"/>
      <protection hidden="1"/>
    </xf>
    <xf numFmtId="0" fontId="42" fillId="0" borderId="0" xfId="0" applyFont="1" applyProtection="1">
      <protection hidden="1"/>
    </xf>
    <xf numFmtId="0" fontId="42" fillId="0" borderId="0" xfId="0" applyFont="1" applyAlignment="1" applyProtection="1">
      <alignment horizontal="left" vertical="top"/>
      <protection hidden="1"/>
    </xf>
    <xf numFmtId="0" fontId="42" fillId="0" borderId="0" xfId="0" applyFont="1" applyAlignment="1" applyProtection="1">
      <alignment horizontal="center" vertical="center"/>
      <protection hidden="1"/>
    </xf>
    <xf numFmtId="0" fontId="42" fillId="0" borderId="1" xfId="0" applyFont="1" applyBorder="1" applyAlignment="1" applyProtection="1">
      <alignment horizontal="center" vertical="center"/>
      <protection hidden="1"/>
    </xf>
    <xf numFmtId="0" fontId="42" fillId="0" borderId="0" xfId="0" applyFont="1" applyAlignment="1" applyProtection="1">
      <alignment vertical="top" wrapText="1"/>
      <protection hidden="1"/>
    </xf>
    <xf numFmtId="0" fontId="42" fillId="0" borderId="0" xfId="0" applyFont="1" applyAlignment="1" applyProtection="1">
      <alignment vertical="center"/>
      <protection hidden="1"/>
    </xf>
    <xf numFmtId="0" fontId="0" fillId="0" borderId="0" xfId="0" applyFont="1" applyAlignment="1" applyProtection="1">
      <alignment horizontal="left" vertical="center"/>
      <protection hidden="1"/>
    </xf>
    <xf numFmtId="186" fontId="23" fillId="0" borderId="0" xfId="0" applyNumberFormat="1" applyFont="1" applyFill="1" applyAlignment="1" applyProtection="1">
      <alignment horizontal="right"/>
      <protection hidden="1"/>
    </xf>
    <xf numFmtId="0" fontId="0" fillId="0" borderId="0" xfId="0" applyAlignment="1" applyProtection="1">
      <alignment vertical="top"/>
      <protection hidden="1"/>
    </xf>
    <xf numFmtId="0" fontId="0" fillId="0" borderId="0" xfId="0" applyAlignment="1" applyProtection="1">
      <alignment horizontal="right" vertical="center"/>
      <protection hidden="1"/>
    </xf>
    <xf numFmtId="186" fontId="0" fillId="0" borderId="0" xfId="0" applyNumberFormat="1" applyAlignment="1" applyProtection="1">
      <alignment horizontal="right" vertical="center"/>
      <protection hidden="1"/>
    </xf>
    <xf numFmtId="0" fontId="45" fillId="0" borderId="1" xfId="0" applyFont="1" applyBorder="1" applyAlignment="1" applyProtection="1">
      <alignment horizontal="center" vertical="center"/>
      <protection hidden="1"/>
    </xf>
    <xf numFmtId="0" fontId="45" fillId="0" borderId="1" xfId="0" applyFont="1" applyBorder="1" applyAlignment="1" applyProtection="1">
      <alignment horizontal="center" vertical="center" wrapText="1"/>
      <protection hidden="1"/>
    </xf>
    <xf numFmtId="185" fontId="45" fillId="0" borderId="1" xfId="0" applyNumberFormat="1" applyFont="1" applyBorder="1" applyAlignment="1" applyProtection="1">
      <alignment vertical="center"/>
      <protection hidden="1"/>
    </xf>
    <xf numFmtId="185" fontId="0" fillId="0" borderId="0" xfId="0" applyNumberFormat="1" applyAlignment="1" applyProtection="1">
      <alignment vertical="center"/>
      <protection hidden="1"/>
    </xf>
    <xf numFmtId="185" fontId="39" fillId="0" borderId="1" xfId="0" applyNumberFormat="1" applyFont="1" applyBorder="1" applyAlignment="1" applyProtection="1">
      <alignment horizontal="center" vertical="center"/>
      <protection hidden="1"/>
    </xf>
    <xf numFmtId="0" fontId="30" fillId="0" borderId="0" xfId="0" applyFont="1" applyProtection="1">
      <protection hidden="1"/>
    </xf>
    <xf numFmtId="0" fontId="0" fillId="0" borderId="13" xfId="0" applyFill="1" applyBorder="1" applyAlignment="1" applyProtection="1">
      <alignment horizontal="left" vertical="center" indent="2"/>
      <protection hidden="1"/>
    </xf>
    <xf numFmtId="0" fontId="0" fillId="0" borderId="14" xfId="0" quotePrefix="1" applyNumberFormat="1" applyBorder="1" applyAlignment="1" applyProtection="1">
      <alignment horizontal="center" vertical="center"/>
      <protection hidden="1"/>
    </xf>
    <xf numFmtId="182" fontId="0" fillId="0" borderId="15" xfId="0" applyNumberFormat="1" applyFont="1" applyFill="1" applyBorder="1" applyAlignment="1" applyProtection="1">
      <alignment horizontal="right" vertical="center" indent="1"/>
      <protection hidden="1"/>
    </xf>
    <xf numFmtId="0" fontId="48" fillId="0" borderId="0" xfId="0" applyFont="1"/>
    <xf numFmtId="2" fontId="26" fillId="5" borderId="1" xfId="0" applyNumberFormat="1" applyFont="1" applyFill="1" applyBorder="1" applyAlignment="1" applyProtection="1">
      <alignment horizontal="center"/>
      <protection hidden="1"/>
    </xf>
    <xf numFmtId="2" fontId="49" fillId="5" borderId="1" xfId="0" applyNumberFormat="1" applyFont="1" applyFill="1" applyBorder="1" applyAlignment="1" applyProtection="1">
      <alignment horizontal="center"/>
      <protection hidden="1"/>
    </xf>
    <xf numFmtId="2" fontId="50" fillId="5" borderId="1" xfId="0" applyNumberFormat="1" applyFont="1" applyFill="1" applyBorder="1" applyAlignment="1" applyProtection="1">
      <alignment horizontal="center"/>
      <protection hidden="1"/>
    </xf>
    <xf numFmtId="2" fontId="51" fillId="5" borderId="1" xfId="0" applyNumberFormat="1" applyFont="1" applyFill="1" applyBorder="1" applyAlignment="1" applyProtection="1">
      <alignment horizontal="center"/>
      <protection hidden="1"/>
    </xf>
    <xf numFmtId="0" fontId="18" fillId="0" borderId="0" xfId="0" applyFont="1"/>
    <xf numFmtId="0" fontId="0" fillId="0" borderId="0" xfId="0" applyFont="1"/>
    <xf numFmtId="0" fontId="0" fillId="10" borderId="1" xfId="0" quotePrefix="1" applyFont="1" applyFill="1" applyBorder="1" applyAlignment="1" applyProtection="1">
      <alignment horizontal="center" vertical="center"/>
      <protection hidden="1"/>
    </xf>
    <xf numFmtId="0" fontId="46" fillId="0" borderId="0" xfId="0" applyFont="1" applyAlignment="1" applyProtection="1">
      <alignment vertical="top"/>
      <protection hidden="1"/>
    </xf>
    <xf numFmtId="0" fontId="39" fillId="0" borderId="0" xfId="0" applyFont="1" applyProtection="1">
      <protection hidden="1"/>
    </xf>
    <xf numFmtId="0" fontId="24" fillId="0" borderId="3" xfId="0" applyFont="1" applyBorder="1" applyAlignment="1" applyProtection="1">
      <alignment horizontal="center" vertical="center" wrapText="1"/>
      <protection hidden="1"/>
    </xf>
    <xf numFmtId="0" fontId="24" fillId="0" borderId="6" xfId="0" applyFont="1" applyBorder="1" applyAlignment="1" applyProtection="1">
      <alignment horizontal="center" vertical="center" wrapText="1"/>
      <protection hidden="1"/>
    </xf>
    <xf numFmtId="0" fontId="24" fillId="0" borderId="4" xfId="0" applyFont="1" applyBorder="1" applyAlignment="1" applyProtection="1">
      <alignment horizontal="center" vertical="center" wrapText="1"/>
      <protection hidden="1"/>
    </xf>
    <xf numFmtId="0" fontId="21" fillId="0" borderId="3" xfId="0" applyFont="1" applyBorder="1" applyAlignment="1" applyProtection="1">
      <alignment horizontal="left" vertical="center" wrapText="1"/>
      <protection hidden="1"/>
    </xf>
    <xf numFmtId="0" fontId="21" fillId="0" borderId="6" xfId="0" applyFont="1" applyBorder="1" applyAlignment="1" applyProtection="1">
      <alignment horizontal="left" vertical="center" wrapText="1"/>
      <protection hidden="1"/>
    </xf>
    <xf numFmtId="0" fontId="21" fillId="0" borderId="4" xfId="0" applyFont="1" applyBorder="1" applyAlignment="1" applyProtection="1">
      <alignment horizontal="left" vertical="center" wrapText="1"/>
      <protection hidden="1"/>
    </xf>
    <xf numFmtId="0" fontId="0" fillId="0" borderId="3"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21" fillId="0" borderId="3" xfId="0" applyFont="1" applyBorder="1" applyAlignment="1" applyProtection="1">
      <alignment horizontal="left" vertical="center"/>
      <protection hidden="1"/>
    </xf>
    <xf numFmtId="0" fontId="21" fillId="0" borderId="6" xfId="0" applyFont="1" applyBorder="1" applyAlignment="1" applyProtection="1">
      <alignment horizontal="left" vertical="center"/>
      <protection hidden="1"/>
    </xf>
    <xf numFmtId="0" fontId="21" fillId="0" borderId="4" xfId="0" applyFont="1" applyBorder="1" applyAlignment="1" applyProtection="1">
      <alignment horizontal="left" vertical="center"/>
      <protection hidden="1"/>
    </xf>
    <xf numFmtId="0" fontId="23" fillId="0" borderId="3" xfId="0" applyFont="1" applyBorder="1" applyAlignment="1" applyProtection="1">
      <alignment horizontal="center" vertical="center"/>
      <protection hidden="1"/>
    </xf>
    <xf numFmtId="0" fontId="23" fillId="0" borderId="6" xfId="0" applyFont="1" applyBorder="1" applyAlignment="1" applyProtection="1">
      <alignment horizontal="center" vertical="center"/>
      <protection hidden="1"/>
    </xf>
    <xf numFmtId="0" fontId="23" fillId="0" borderId="4" xfId="0" applyFont="1" applyBorder="1" applyAlignment="1" applyProtection="1">
      <alignment horizontal="center" vertical="center"/>
      <protection hidden="1"/>
    </xf>
    <xf numFmtId="0" fontId="0" fillId="0" borderId="3" xfId="0" applyFont="1" applyBorder="1" applyAlignment="1" applyProtection="1">
      <alignment horizontal="center" vertical="center"/>
      <protection hidden="1"/>
    </xf>
    <xf numFmtId="0" fontId="0" fillId="0" borderId="6" xfId="0" applyFont="1" applyBorder="1" applyAlignment="1" applyProtection="1">
      <alignment horizontal="center" vertical="center"/>
      <protection hidden="1"/>
    </xf>
    <xf numFmtId="0" fontId="0" fillId="0" borderId="4" xfId="0" applyFont="1" applyBorder="1" applyAlignment="1" applyProtection="1">
      <alignment horizontal="center" vertical="center"/>
      <protection hidden="1"/>
    </xf>
    <xf numFmtId="0" fontId="29" fillId="0" borderId="32" xfId="0" applyFont="1" applyBorder="1" applyAlignment="1" applyProtection="1">
      <alignment vertical="center"/>
      <protection hidden="1"/>
    </xf>
    <xf numFmtId="0" fontId="29" fillId="0" borderId="6" xfId="0" applyFont="1" applyBorder="1" applyAlignment="1" applyProtection="1">
      <alignment vertical="center"/>
      <protection hidden="1"/>
    </xf>
    <xf numFmtId="0" fontId="29" fillId="0" borderId="12" xfId="0" applyFont="1" applyBorder="1" applyAlignment="1" applyProtection="1">
      <alignment vertical="center"/>
      <protection hidden="1"/>
    </xf>
    <xf numFmtId="0" fontId="0" fillId="0" borderId="32" xfId="0" applyBorder="1" applyAlignment="1" applyProtection="1">
      <alignment vertical="center"/>
      <protection hidden="1"/>
    </xf>
    <xf numFmtId="0" fontId="0" fillId="0" borderId="6" xfId="0" applyBorder="1" applyAlignment="1" applyProtection="1">
      <alignment vertical="center"/>
      <protection hidden="1"/>
    </xf>
    <xf numFmtId="0" fontId="0" fillId="0" borderId="12" xfId="0" applyBorder="1" applyAlignment="1" applyProtection="1">
      <alignment vertical="center"/>
      <protection hidden="1"/>
    </xf>
    <xf numFmtId="0" fontId="31" fillId="0" borderId="7" xfId="0" applyFont="1" applyBorder="1" applyAlignment="1" applyProtection="1">
      <alignment horizontal="center" vertical="center"/>
      <protection hidden="1"/>
    </xf>
    <xf numFmtId="0" fontId="31" fillId="0" borderId="10" xfId="0" applyFont="1" applyBorder="1" applyAlignment="1" applyProtection="1">
      <alignment horizontal="center" vertical="center"/>
      <protection hidden="1"/>
    </xf>
    <xf numFmtId="0" fontId="31" fillId="0" borderId="8" xfId="0" applyFont="1" applyBorder="1" applyAlignment="1" applyProtection="1">
      <alignment horizontal="center" vertical="center"/>
      <protection hidden="1"/>
    </xf>
    <xf numFmtId="0" fontId="31" fillId="0" borderId="1" xfId="0" applyFont="1" applyBorder="1" applyAlignment="1" applyProtection="1">
      <alignment horizontal="center" vertical="center"/>
      <protection hidden="1"/>
    </xf>
    <xf numFmtId="169" fontId="31" fillId="0" borderId="9" xfId="0" applyNumberFormat="1" applyFont="1" applyBorder="1" applyAlignment="1" applyProtection="1">
      <alignment horizontal="center" vertical="center"/>
      <protection hidden="1"/>
    </xf>
    <xf numFmtId="169" fontId="31" fillId="0" borderId="11" xfId="0" applyNumberFormat="1" applyFont="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protection hidden="1"/>
    </xf>
    <xf numFmtId="0" fontId="2" fillId="0" borderId="5"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12" fillId="0" borderId="9" xfId="0" applyFont="1" applyBorder="1" applyAlignment="1">
      <alignment horizontal="center" vertical="center"/>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4"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12" fillId="0" borderId="29" xfId="0" applyFont="1" applyBorder="1" applyAlignment="1">
      <alignment horizontal="left" vertical="center"/>
    </xf>
    <xf numFmtId="0" fontId="12" fillId="0" borderId="30" xfId="0" applyFont="1" applyBorder="1" applyAlignment="1">
      <alignment horizontal="left" vertical="center"/>
    </xf>
    <xf numFmtId="0" fontId="12" fillId="0" borderId="31" xfId="0" applyFont="1" applyBorder="1" applyAlignment="1">
      <alignment horizontal="left"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13" xfId="0" applyFont="1" applyBorder="1" applyAlignment="1">
      <alignment horizontal="left" vertical="center" wrapText="1"/>
    </xf>
    <xf numFmtId="0" fontId="25" fillId="0" borderId="14" xfId="0" applyFont="1" applyBorder="1" applyAlignment="1">
      <alignment horizontal="left" vertical="center"/>
    </xf>
    <xf numFmtId="0" fontId="25" fillId="0" borderId="15" xfId="0" applyFont="1" applyBorder="1" applyAlignment="1">
      <alignment horizontal="left" vertical="center"/>
    </xf>
    <xf numFmtId="0" fontId="12" fillId="0" borderId="26" xfId="0" applyFont="1" applyBorder="1" applyAlignment="1">
      <alignment horizontal="left" vertical="center"/>
    </xf>
    <xf numFmtId="0" fontId="12" fillId="0" borderId="27" xfId="0" applyFont="1" applyBorder="1" applyAlignment="1">
      <alignment horizontal="left" vertical="center"/>
    </xf>
    <xf numFmtId="0" fontId="12" fillId="0" borderId="28" xfId="0" applyFont="1" applyBorder="1" applyAlignment="1">
      <alignment horizontal="left"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0" fillId="0" borderId="3" xfId="0" applyBorder="1" applyAlignment="1">
      <alignment horizontal="center" vertical="center"/>
    </xf>
    <xf numFmtId="0" fontId="0" fillId="0" borderId="12" xfId="0" applyBorder="1" applyAlignment="1">
      <alignment horizontal="center" vertical="center"/>
    </xf>
    <xf numFmtId="0" fontId="23" fillId="0" borderId="1" xfId="0" applyFont="1" applyBorder="1" applyAlignment="1" applyProtection="1">
      <alignment horizontal="left" vertical="center"/>
      <protection hidden="1"/>
    </xf>
    <xf numFmtId="0" fontId="23" fillId="0" borderId="1" xfId="0" applyFont="1" applyBorder="1" applyAlignment="1" applyProtection="1">
      <alignment horizontal="left" vertical="top" wrapText="1"/>
      <protection hidden="1"/>
    </xf>
    <xf numFmtId="0" fontId="23" fillId="0" borderId="1" xfId="0" applyFont="1" applyBorder="1" applyAlignment="1" applyProtection="1">
      <alignment horizontal="left" vertical="top"/>
      <protection hidden="1"/>
    </xf>
    <xf numFmtId="0" fontId="23" fillId="0" borderId="3" xfId="0" applyFont="1" applyBorder="1" applyAlignment="1" applyProtection="1">
      <alignment horizontal="left" vertical="top" wrapText="1"/>
      <protection hidden="1"/>
    </xf>
    <xf numFmtId="0" fontId="23" fillId="0" borderId="6" xfId="0" applyFont="1" applyBorder="1" applyAlignment="1" applyProtection="1">
      <alignment horizontal="left" vertical="top"/>
      <protection hidden="1"/>
    </xf>
    <xf numFmtId="0" fontId="23" fillId="0" borderId="4" xfId="0" applyFont="1" applyBorder="1" applyAlignment="1" applyProtection="1">
      <alignment horizontal="left" vertical="top"/>
      <protection hidden="1"/>
    </xf>
    <xf numFmtId="0" fontId="23" fillId="0" borderId="1" xfId="0" applyFont="1" applyBorder="1" applyAlignment="1" applyProtection="1">
      <alignment horizontal="left" vertical="center" wrapText="1"/>
      <protection hidden="1"/>
    </xf>
    <xf numFmtId="0" fontId="47" fillId="0" borderId="1" xfId="0" applyFont="1" applyBorder="1" applyAlignment="1" applyProtection="1">
      <alignment horizontal="left" vertical="top" wrapText="1" readingOrder="1"/>
      <protection hidden="1"/>
    </xf>
  </cellXfs>
  <cellStyles count="1">
    <cellStyle name="Normal" xfId="0" builtinId="0"/>
  </cellStyles>
  <dxfs count="16">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Medium9"/>
  <colors>
    <mruColors>
      <color rgb="FFCC9900"/>
      <color rgb="FFCC0000"/>
      <color rgb="FF008000"/>
      <color rgb="FFCC00CC"/>
      <color rgb="FF3333FF"/>
      <color rgb="FF000000"/>
      <color rgb="FFFFFF00"/>
      <color rgb="FF0000FF"/>
      <color rgb="FF0099CC"/>
      <color rgb="FF00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a:pPr>
            <a:r>
              <a:rPr lang="en-US" sz="1800"/>
              <a:t>Frequency Curve at High Line Input (i-ACF)</a:t>
            </a:r>
          </a:p>
        </c:rich>
      </c:tx>
      <c:layout>
        <c:manualLayout>
          <c:xMode val="edge"/>
          <c:yMode val="edge"/>
          <c:x val="0.17370921443137771"/>
          <c:y val="1.2980870948104179E-2"/>
        </c:manualLayout>
      </c:layout>
      <c:overlay val="0"/>
    </c:title>
    <c:autoTitleDeleted val="0"/>
    <c:plotArea>
      <c:layout>
        <c:manualLayout>
          <c:layoutTarget val="inner"/>
          <c:xMode val="edge"/>
          <c:yMode val="edge"/>
          <c:x val="0.13034994274335077"/>
          <c:y val="8.4779432384545772E-2"/>
          <c:w val="0.82712210361229599"/>
          <c:h val="0.77794459280315087"/>
        </c:manualLayout>
      </c:layout>
      <c:scatterChart>
        <c:scatterStyle val="smoothMarker"/>
        <c:varyColors val="0"/>
        <c:ser>
          <c:idx val="2"/>
          <c:order val="0"/>
          <c:tx>
            <c:v>Upper Bound</c:v>
          </c:tx>
          <c:spPr>
            <a:ln>
              <a:solidFill>
                <a:srgbClr val="000000"/>
              </a:solidFill>
              <a:prstDash val="lgDash"/>
            </a:ln>
          </c:spPr>
          <c:marker>
            <c:symbol val="none"/>
          </c:marker>
          <c:xVal>
            <c:numRef>
              <c:f>Ver130kHz!$F$214:$F$359</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4.6659984042518658</c:v>
                </c:pt>
                <c:pt idx="57">
                  <c:v>4.7946270126310253</c:v>
                </c:pt>
                <c:pt idx="58">
                  <c:v>4.9270512263163555</c:v>
                </c:pt>
                <c:pt idx="59">
                  <c:v>5.0634178536063903</c:v>
                </c:pt>
                <c:pt idx="60">
                  <c:v>5.2038813727861086</c:v>
                </c:pt>
                <c:pt idx="61">
                  <c:v>5.3486044396530383</c:v>
                </c:pt>
                <c:pt idx="62">
                  <c:v>5.4977584358837088</c:v>
                </c:pt>
                <c:pt idx="63">
                  <c:v>5.6515240621266782</c:v>
                </c:pt>
                <c:pt idx="64">
                  <c:v>5.8100919801368613</c:v>
                </c:pt>
                <c:pt idx="65">
                  <c:v>5.9736635087482002</c:v>
                </c:pt>
                <c:pt idx="66">
                  <c:v>6.1424513790256245</c:v>
                </c:pt>
                <c:pt idx="67">
                  <c:v>6.3166805545513975</c:v>
                </c:pt>
                <c:pt idx="68">
                  <c:v>6.4965891234959194</c:v>
                </c:pt>
                <c:pt idx="69">
                  <c:v>6.6824292699103633</c:v>
                </c:pt>
                <c:pt idx="70">
                  <c:v>6.8744683325724552</c:v>
                </c:pt>
                <c:pt idx="71">
                  <c:v>7.0729899607333753</c:v>
                </c:pt>
                <c:pt idx="72">
                  <c:v>7.278295377271907</c:v>
                </c:pt>
                <c:pt idx="73">
                  <c:v>7.4907047610844222</c:v>
                </c:pt>
                <c:pt idx="74">
                  <c:v>7.7105587620517904</c:v>
                </c:pt>
                <c:pt idx="75">
                  <c:v>7.9382201636578982</c:v>
                </c:pt>
                <c:pt idx="76">
                  <c:v>8.1740757103258552</c:v>
                </c:pt>
                <c:pt idx="77">
                  <c:v>8.4185381188301402</c:v>
                </c:pt>
                <c:pt idx="78">
                  <c:v>8.6720482957872136</c:v>
                </c:pt>
                <c:pt idx="79">
                  <c:v>8.935077786285424</c:v>
                </c:pt>
                <c:pt idx="80">
                  <c:v>9.2081314822590965</c:v>
                </c:pt>
                <c:pt idx="81">
                  <c:v>9.4917506233305389</c:v>
                </c:pt>
                <c:pt idx="82">
                  <c:v>9.7865161276417272</c:v>
                </c:pt>
                <c:pt idx="83">
                  <c:v>10.093052295801424</c:v>
                </c:pt>
                <c:pt idx="84">
                  <c:v>10.412030937637311</c:v>
                </c:pt>
                <c:pt idx="85">
                  <c:v>10.744175979152253</c:v>
                </c:pt>
                <c:pt idx="86">
                  <c:v>11.090268616165266</c:v>
                </c:pt>
                <c:pt idx="87">
                  <c:v>11.451153091848713</c:v>
                </c:pt>
                <c:pt idx="88">
                  <c:v>11.827743188092837</c:v>
                </c:pt>
                <c:pt idx="89">
                  <c:v>12.221029535754868</c:v>
                </c:pt>
                <c:pt idx="90">
                  <c:v>12.632087866900424</c:v>
                </c:pt>
                <c:pt idx="91">
                  <c:v>13.062088353760236</c:v>
                </c:pt>
                <c:pt idx="92">
                  <c:v>13.512306205106551</c:v>
                </c:pt>
                <c:pt idx="93">
                  <c:v>13.984133722102321</c:v>
                </c:pt>
                <c:pt idx="94">
                  <c:v>14.479094053654226</c:v>
                </c:pt>
                <c:pt idx="95">
                  <c:v>14.998856937501628</c:v>
                </c:pt>
                <c:pt idx="96">
                  <c:v>15.545256769726608</c:v>
                </c:pt>
                <c:pt idx="97">
                  <c:v>16.120313414664913</c:v>
                </c:pt>
                <c:pt idx="98">
                  <c:v>16.726256252665241</c:v>
                </c:pt>
                <c:pt idx="99">
                  <c:v>17.365552069089734</c:v>
                </c:pt>
                <c:pt idx="100">
                  <c:v>18.040937519973536</c:v>
                </c:pt>
                <c:pt idx="101">
                  <c:v>18.755457075197171</c:v>
                </c:pt>
                <c:pt idx="102">
                  <c:v>19.512507548542541</c:v>
                </c:pt>
                <c:pt idx="103">
                  <c:v>20.315890588433557</c:v>
                </c:pt>
                <c:pt idx="104">
                  <c:v>21.169874840680745</c:v>
                </c:pt>
                <c:pt idx="105">
                  <c:v>22.079269928308882</c:v>
                </c:pt>
                <c:pt idx="106">
                  <c:v>23.049514955040749</c:v>
                </c:pt>
                <c:pt idx="107">
                  <c:v>24.086784971444292</c:v>
                </c:pt>
                <c:pt idx="108">
                  <c:v>25.198119805974194</c:v>
                </c:pt>
                <c:pt idx="109">
                  <c:v>26.391580940885202</c:v>
                </c:pt>
                <c:pt idx="110">
                  <c:v>27.676443823670464</c:v>
                </c:pt>
                <c:pt idx="111">
                  <c:v>29.063435317648199</c:v>
                </c:pt>
                <c:pt idx="112">
                  <c:v>30.565029155788942</c:v>
                </c:pt>
                <c:pt idx="113">
                  <c:v>32.195816629529105</c:v>
                </c:pt>
                <c:pt idx="114">
                  <c:v>33.972975854192697</c:v>
                </c:pt>
                <c:pt idx="115">
                  <c:v>35.916871612730354</c:v>
                </c:pt>
                <c:pt idx="116">
                  <c:v>38.051830230008299</c:v>
                </c:pt>
                <c:pt idx="117">
                  <c:v>40.407152108448763</c:v>
                </c:pt>
                <c:pt idx="118">
                  <c:v>43.018451548244869</c:v>
                </c:pt>
                <c:pt idx="119">
                  <c:v>45.929454300236202</c:v>
                </c:pt>
                <c:pt idx="120">
                  <c:v>49.194446308481503</c:v>
                </c:pt>
                <c:pt idx="121">
                  <c:v>52.881666547486333</c:v>
                </c:pt>
                <c:pt idx="122">
                  <c:v>57.078097768401499</c:v>
                </c:pt>
                <c:pt idx="123">
                  <c:v>61.896376656593809</c:v>
                </c:pt>
                <c:pt idx="124">
                  <c:v>63.124930938112406</c:v>
                </c:pt>
                <c:pt idx="125">
                  <c:v>64.365558218154291</c:v>
                </c:pt>
                <c:pt idx="126">
                  <c:v>65.618258496719321</c:v>
                </c:pt>
                <c:pt idx="127">
                  <c:v>66.88303177380763</c:v>
                </c:pt>
                <c:pt idx="128">
                  <c:v>68.15987804941912</c:v>
                </c:pt>
                <c:pt idx="129">
                  <c:v>71.404813106986893</c:v>
                </c:pt>
                <c:pt idx="130">
                  <c:v>74.725204405324774</c:v>
                </c:pt>
                <c:pt idx="131">
                  <c:v>78.12105194443275</c:v>
                </c:pt>
                <c:pt idx="132">
                  <c:v>81.592355724310778</c:v>
                </c:pt>
                <c:pt idx="133">
                  <c:v>85.139115744958943</c:v>
                </c:pt>
                <c:pt idx="134">
                  <c:v>88.76133200637716</c:v>
                </c:pt>
                <c:pt idx="135">
                  <c:v>96.232133251523848</c:v>
                </c:pt>
                <c:pt idx="136">
                  <c:v>104.0047594597509</c:v>
                </c:pt>
                <c:pt idx="137">
                  <c:v>112.07921063105823</c:v>
                </c:pt>
                <c:pt idx="138">
                  <c:v>120.45548676544593</c:v>
                </c:pt>
                <c:pt idx="139">
                  <c:v>129.13358786291403</c:v>
                </c:pt>
                <c:pt idx="140">
                  <c:v>138.11351392346242</c:v>
                </c:pt>
                <c:pt idx="141">
                  <c:v>147.39526494709114</c:v>
                </c:pt>
                <c:pt idx="142">
                  <c:v>156.97884093380017</c:v>
                </c:pt>
                <c:pt idx="143">
                  <c:v>166.86424188358961</c:v>
                </c:pt>
                <c:pt idx="144">
                  <c:v>174.98987661683901</c:v>
                </c:pt>
                <c:pt idx="145">
                  <c:v>174.98987661683901</c:v>
                </c:pt>
              </c:numCache>
            </c:numRef>
          </c:xVal>
          <c:yVal>
            <c:numRef>
              <c:f>Ver130kHz!$E$214:$E$359</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22.026757883358133</c:v>
                </c:pt>
                <c:pt idx="57">
                  <c:v>22.303606436933268</c:v>
                </c:pt>
                <c:pt idx="58">
                  <c:v>22.58750284716422</c:v>
                </c:pt>
                <c:pt idx="59">
                  <c:v>22.878719714535098</c:v>
                </c:pt>
                <c:pt idx="60">
                  <c:v>23.177543881517952</c:v>
                </c:pt>
                <c:pt idx="61">
                  <c:v>23.48427737497089</c:v>
                </c:pt>
                <c:pt idx="62">
                  <c:v>23.799238424370419</c:v>
                </c:pt>
                <c:pt idx="63">
                  <c:v>24.122762563094199</c:v>
                </c:pt>
                <c:pt idx="64">
                  <c:v>24.455203820765959</c:v>
                </c:pt>
                <c:pt idx="65">
                  <c:v>24.796936015569976</c:v>
                </c:pt>
                <c:pt idx="66">
                  <c:v>25.148354156452349</c:v>
                </c:pt>
                <c:pt idx="67">
                  <c:v>25.509875966266939</c:v>
                </c:pt>
                <c:pt idx="68">
                  <c:v>25.881943538213928</c:v>
                </c:pt>
                <c:pt idx="69">
                  <c:v>26.265025139381205</c:v>
                </c:pt>
                <c:pt idx="70">
                  <c:v>26.659617176858553</c:v>
                </c:pt>
                <c:pt idx="71">
                  <c:v>27.066246343782272</c:v>
                </c:pt>
                <c:pt idx="72">
                  <c:v>27.485471964818597</c:v>
                </c:pt>
                <c:pt idx="73">
                  <c:v>27.917888563049853</c:v>
                </c:pt>
                <c:pt idx="74">
                  <c:v>28.364128673035488</c:v>
                </c:pt>
                <c:pt idx="75">
                  <c:v>28.824865928039575</c:v>
                </c:pt>
                <c:pt idx="76">
                  <c:v>29.300818453113759</c:v>
                </c:pt>
                <c:pt idx="77">
                  <c:v>29.792752599980972</c:v>
                </c:pt>
                <c:pt idx="78">
                  <c:v>30.301487064575266</c:v>
                </c:pt>
                <c:pt idx="79">
                  <c:v>30.82789743377182</c:v>
                </c:pt>
                <c:pt idx="80">
                  <c:v>31.372921214422043</c:v>
                </c:pt>
                <c:pt idx="81">
                  <c:v>31.937563405456757</c:v>
                </c:pt>
                <c:pt idx="82">
                  <c:v>32.522902682729509</c:v>
                </c:pt>
                <c:pt idx="83">
                  <c:v>33.130098276678069</c:v>
                </c:pt>
                <c:pt idx="84">
                  <c:v>33.76039763506995</c:v>
                </c:pt>
                <c:pt idx="85">
                  <c:v>34.415144977413249</c:v>
                </c:pt>
                <c:pt idx="86">
                  <c:v>35.095790864477152</c:v>
                </c:pt>
                <c:pt idx="87">
                  <c:v>35.803902926292089</c:v>
                </c:pt>
                <c:pt idx="88">
                  <c:v>36.54117791561751</c:v>
                </c:pt>
                <c:pt idx="89">
                  <c:v>37.309455281952879</c:v>
                </c:pt>
                <c:pt idx="90">
                  <c:v>38.11073249468371</c:v>
                </c:pt>
                <c:pt idx="91">
                  <c:v>38.947182384091214</c:v>
                </c:pt>
                <c:pt idx="92">
                  <c:v>39.821172817197386</c:v>
                </c:pt>
                <c:pt idx="93">
                  <c:v>40.735289083627144</c:v>
                </c:pt>
                <c:pt idx="94">
                  <c:v>41.692359437188173</c:v>
                </c:pt>
                <c:pt idx="95">
                  <c:v>42.695484324657897</c:v>
                </c:pt>
                <c:pt idx="96">
                  <c:v>43.748069938090964</c:v>
                </c:pt>
                <c:pt idx="97">
                  <c:v>44.853866855630855</c:v>
                </c:pt>
                <c:pt idx="98">
                  <c:v>46.017014694508909</c:v>
                </c:pt>
                <c:pt idx="99">
                  <c:v>47.242093896639055</c:v>
                </c:pt>
                <c:pt idx="100">
                  <c:v>48.534186012366021</c:v>
                </c:pt>
                <c:pt idx="101">
                  <c:v>49.8989441551144</c:v>
                </c:pt>
                <c:pt idx="102">
                  <c:v>51.342675686870059</c:v>
                </c:pt>
                <c:pt idx="103">
                  <c:v>52.872439685431154</c:v>
                </c:pt>
                <c:pt idx="104">
                  <c:v>54.496162371086768</c:v>
                </c:pt>
                <c:pt idx="105">
                  <c:v>56.222774475805288</c:v>
                </c:pt>
                <c:pt idx="106">
                  <c:v>58.062375580623716</c:v>
                </c:pt>
                <c:pt idx="107">
                  <c:v>60.026431806946903</c:v>
                </c:pt>
                <c:pt idx="108">
                  <c:v>62.128015036023768</c:v>
                </c:pt>
                <c:pt idx="109">
                  <c:v>64.38209420344738</c:v>
                </c:pt>
                <c:pt idx="110">
                  <c:v>66.805892391987754</c:v>
                </c:pt>
                <c:pt idx="111">
                  <c:v>69.419327740896691</c:v>
                </c:pt>
                <c:pt idx="112">
                  <c:v>72.245562058330648</c:v>
                </c:pt>
                <c:pt idx="113">
                  <c:v>75.311689133599103</c:v>
                </c:pt>
                <c:pt idx="114">
                  <c:v>78.649606091048369</c:v>
                </c:pt>
                <c:pt idx="115">
                  <c:v>82.297127207845165</c:v>
                </c:pt>
                <c:pt idx="116">
                  <c:v>86.299422736634369</c:v>
                </c:pt>
                <c:pt idx="117">
                  <c:v>90.710899028859785</c:v>
                </c:pt>
                <c:pt idx="118">
                  <c:v>95.597686375321189</c:v>
                </c:pt>
                <c:pt idx="119">
                  <c:v>101.04097678604779</c:v>
                </c:pt>
                <c:pt idx="120">
                  <c:v>107.14157092952043</c:v>
                </c:pt>
                <c:pt idx="121">
                  <c:v>114.02617811080658</c:v>
                </c:pt>
                <c:pt idx="122">
                  <c:v>121.85631195215844</c:v>
                </c:pt>
                <c:pt idx="123">
                  <c:v>130.8411214953272</c:v>
                </c:pt>
                <c:pt idx="124">
                  <c:v>130.84112149532709</c:v>
                </c:pt>
                <c:pt idx="125">
                  <c:v>130.84112149532709</c:v>
                </c:pt>
                <c:pt idx="126">
                  <c:v>130.84112149532709</c:v>
                </c:pt>
                <c:pt idx="127">
                  <c:v>130.84112149532709</c:v>
                </c:pt>
                <c:pt idx="128">
                  <c:v>130.84112149532709</c:v>
                </c:pt>
                <c:pt idx="129">
                  <c:v>130.84112149532709</c:v>
                </c:pt>
                <c:pt idx="130">
                  <c:v>130.84112149532709</c:v>
                </c:pt>
                <c:pt idx="131">
                  <c:v>130.84112149532709</c:v>
                </c:pt>
                <c:pt idx="132">
                  <c:v>130.84112149532709</c:v>
                </c:pt>
                <c:pt idx="133">
                  <c:v>130.84112149532709</c:v>
                </c:pt>
                <c:pt idx="134">
                  <c:v>130.84112149532709</c:v>
                </c:pt>
                <c:pt idx="135">
                  <c:v>130.84112149532709</c:v>
                </c:pt>
                <c:pt idx="136">
                  <c:v>130.84112149532709</c:v>
                </c:pt>
                <c:pt idx="137">
                  <c:v>130.84112149532709</c:v>
                </c:pt>
                <c:pt idx="138">
                  <c:v>130.84112149532709</c:v>
                </c:pt>
                <c:pt idx="139">
                  <c:v>130.84112149532709</c:v>
                </c:pt>
                <c:pt idx="140">
                  <c:v>130.84112149532709</c:v>
                </c:pt>
                <c:pt idx="141">
                  <c:v>130.84112149532709</c:v>
                </c:pt>
                <c:pt idx="142">
                  <c:v>130.84112149532709</c:v>
                </c:pt>
                <c:pt idx="143">
                  <c:v>130.84112149532709</c:v>
                </c:pt>
                <c:pt idx="144">
                  <c:v>130.84112149532709</c:v>
                </c:pt>
                <c:pt idx="145">
                  <c:v>130.84112149532709</c:v>
                </c:pt>
              </c:numCache>
            </c:numRef>
          </c:yVal>
          <c:smooth val="0"/>
        </c:ser>
        <c:ser>
          <c:idx val="8"/>
          <c:order val="1"/>
          <c:tx>
            <c:strRef>
              <c:f>Ver130kHz!$K$60</c:f>
              <c:strCache>
                <c:ptCount val="1"/>
                <c:pt idx="0">
                  <c:v>Peak at 180VAC </c:v>
                </c:pt>
              </c:strCache>
            </c:strRef>
          </c:tx>
          <c:spPr>
            <a:ln>
              <a:solidFill>
                <a:srgbClr val="3333FF"/>
              </a:solidFill>
            </a:ln>
          </c:spPr>
          <c:marker>
            <c:symbol val="none"/>
          </c:marker>
          <c:xVal>
            <c:numRef>
              <c:f>Ver130kHz!$N$62:$N$207</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4.6603301964424659</c:v>
                </c:pt>
                <c:pt idx="57">
                  <c:v>4.7293604546039614</c:v>
                </c:pt>
                <c:pt idx="58">
                  <c:v>4.8175556403073871</c:v>
                </c:pt>
                <c:pt idx="59">
                  <c:v>4.9494736116106264</c:v>
                </c:pt>
                <c:pt idx="60">
                  <c:v>5.0852815426611384</c:v>
                </c:pt>
                <c:pt idx="61">
                  <c:v>5.22513030828976</c:v>
                </c:pt>
                <c:pt idx="62">
                  <c:v>5.3691786879044212</c:v>
                </c:pt>
                <c:pt idx="63">
                  <c:v>5.517593890027495</c:v>
                </c:pt>
                <c:pt idx="64">
                  <c:v>5.6705521191640953</c:v>
                </c:pt>
                <c:pt idx="65">
                  <c:v>5.8282391890411747</c:v>
                </c:pt>
                <c:pt idx="66">
                  <c:v>5.9908511867040177</c:v>
                </c:pt>
                <c:pt idx="67">
                  <c:v>6.1585951924597548</c:v>
                </c:pt>
                <c:pt idx="68">
                  <c:v>6.3316900612249984</c:v>
                </c:pt>
                <c:pt idx="69">
                  <c:v>6.5103672714757099</c:v>
                </c:pt>
                <c:pt idx="70">
                  <c:v>6.6948718487228973</c:v>
                </c:pt>
                <c:pt idx="71">
                  <c:v>6.8854633712602418</c:v>
                </c:pt>
                <c:pt idx="72">
                  <c:v>7.0824170668636182</c:v>
                </c:pt>
                <c:pt idx="73">
                  <c:v>7.2860250101851713</c:v>
                </c:pt>
                <c:pt idx="74">
                  <c:v>7.4965974317958937</c:v>
                </c:pt>
                <c:pt idx="75">
                  <c:v>7.7144641512138383</c:v>
                </c:pt>
                <c:pt idx="76">
                  <c:v>7.9399761478382498</c:v>
                </c:pt>
                <c:pt idx="77">
                  <c:v>8.1735072855251421</c:v>
                </c:pt>
                <c:pt idx="78">
                  <c:v>8.4154562086255762</c:v>
                </c:pt>
                <c:pt idx="79">
                  <c:v>8.6662484297106204</c:v>
                </c:pt>
                <c:pt idx="80">
                  <c:v>8.9263386319793891</c:v>
                </c:pt>
                <c:pt idx="81">
                  <c:v>9.1962132125547473</c:v>
                </c:pt>
                <c:pt idx="82">
                  <c:v>9.47639309659173</c:v>
                </c:pt>
                <c:pt idx="83">
                  <c:v>9.7674368564488958</c:v>
                </c:pt>
                <c:pt idx="84">
                  <c:v>10.069944175214506</c:v>
                </c:pt>
                <c:pt idx="85">
                  <c:v>10.384559699771744</c:v>
                </c:pt>
                <c:pt idx="86">
                  <c:v>10.711977335492099</c:v>
                </c:pt>
                <c:pt idx="87">
                  <c:v>11.052945042761651</c:v>
                </c:pt>
                <c:pt idx="88">
                  <c:v>11.408270205111279</c:v>
                </c:pt>
                <c:pt idx="89">
                  <c:v>11.778825650032294</c:v>
                </c:pt>
                <c:pt idx="90">
                  <c:v>12.165556416975674</c:v>
                </c:pt>
                <c:pt idx="91">
                  <c:v>12.569487382999439</c:v>
                </c:pt>
                <c:pt idx="92">
                  <c:v>12.99173187559555</c:v>
                </c:pt>
                <c:pt idx="93">
                  <c:v>13.433501425079001</c:v>
                </c:pt>
                <c:pt idx="94">
                  <c:v>13.896116836410133</c:v>
                </c:pt>
                <c:pt idx="95">
                  <c:v>14.381020793516706</c:v>
                </c:pt>
                <c:pt idx="96">
                  <c:v>14.889792249433089</c:v>
                </c:pt>
                <c:pt idx="97">
                  <c:v>15.424162904585369</c:v>
                </c:pt>
                <c:pt idx="98">
                  <c:v>15.986036135495375</c:v>
                </c:pt>
                <c:pt idx="99">
                  <c:v>16.577508809831539</c:v>
                </c:pt>
                <c:pt idx="100">
                  <c:v>17.200896514676156</c:v>
                </c:pt>
                <c:pt idx="101">
                  <c:v>17.858762837733895</c:v>
                </c:pt>
                <c:pt idx="102">
                  <c:v>18.553953482007067</c:v>
                </c:pt>
                <c:pt idx="103">
                  <c:v>19.289636171111081</c:v>
                </c:pt>
                <c:pt idx="104">
                  <c:v>20.069347525339573</c:v>
                </c:pt>
                <c:pt idx="105">
                  <c:v>20.89704837168857</c:v>
                </c:pt>
                <c:pt idx="106">
                  <c:v>21.777189312916093</c:v>
                </c:pt>
                <c:pt idx="107">
                  <c:v>22.714788846470594</c:v>
                </c:pt>
                <c:pt idx="108">
                  <c:v>23.71552692800411</c:v>
                </c:pt>
                <c:pt idx="109">
                  <c:v>24.785857663257261</c:v>
                </c:pt>
                <c:pt idx="110">
                  <c:v>25.933145851689524</c:v>
                </c:pt>
                <c:pt idx="111">
                  <c:v>27.16583348693425</c:v>
                </c:pt>
                <c:pt idx="112">
                  <c:v>28.493644172826102</c:v>
                </c:pt>
                <c:pt idx="113">
                  <c:v>29.927835925575394</c:v>
                </c:pt>
                <c:pt idx="114">
                  <c:v>31.481516272958608</c:v>
                </c:pt>
                <c:pt idx="115">
                  <c:v>33.170038327822198</c:v>
                </c:pt>
                <c:pt idx="116">
                  <c:v>35.011503199154205</c:v>
                </c:pt>
                <c:pt idx="117">
                  <c:v>37.02740360862952</c:v>
                </c:pt>
                <c:pt idx="118">
                  <c:v>39.243457289104711</c:v>
                </c:pt>
                <c:pt idx="119">
                  <c:v>41.690698826829426</c:v>
                </c:pt>
                <c:pt idx="120">
                  <c:v>44.406928546544457</c:v>
                </c:pt>
                <c:pt idx="121">
                  <c:v>47.438662507256744</c:v>
                </c:pt>
                <c:pt idx="122">
                  <c:v>50.843798176615586</c:v>
                </c:pt>
                <c:pt idx="123">
                  <c:v>51.281814526680861</c:v>
                </c:pt>
                <c:pt idx="124">
                  <c:v>51.99165405830253</c:v>
                </c:pt>
                <c:pt idx="125">
                  <c:v>52.7030664990112</c:v>
                </c:pt>
                <c:pt idx="126">
                  <c:v>53.416024380350244</c:v>
                </c:pt>
                <c:pt idx="127">
                  <c:v>54.130500869754414</c:v>
                </c:pt>
                <c:pt idx="128">
                  <c:v>54.846469752254436</c:v>
                </c:pt>
                <c:pt idx="129">
                  <c:v>56.642754509924238</c:v>
                </c:pt>
                <c:pt idx="130">
                  <c:v>58.447823592752066</c:v>
                </c:pt>
                <c:pt idx="131">
                  <c:v>60.261313585863803</c:v>
                </c:pt>
                <c:pt idx="132">
                  <c:v>62.082880848070175</c:v>
                </c:pt>
                <c:pt idx="133">
                  <c:v>63.91220018503833</c:v>
                </c:pt>
                <c:pt idx="134">
                  <c:v>65.748963627885843</c:v>
                </c:pt>
                <c:pt idx="135">
                  <c:v>69.443670416303533</c:v>
                </c:pt>
                <c:pt idx="136">
                  <c:v>73.164841314269211</c:v>
                </c:pt>
                <c:pt idx="137">
                  <c:v>76.910528398733234</c:v>
                </c:pt>
                <c:pt idx="138">
                  <c:v>80.678970340816988</c:v>
                </c:pt>
                <c:pt idx="139">
                  <c:v>84.468570585723157</c:v>
                </c:pt>
                <c:pt idx="140">
                  <c:v>88.277878524607814</c:v>
                </c:pt>
                <c:pt idx="141">
                  <c:v>92.105573190475553</c:v>
                </c:pt>
                <c:pt idx="142">
                  <c:v>95.950449091970455</c:v>
                </c:pt>
                <c:pt idx="143">
                  <c:v>99.811403865001935</c:v>
                </c:pt>
                <c:pt idx="144">
                  <c:v>102.9110628737979</c:v>
                </c:pt>
                <c:pt idx="145">
                  <c:v>102.9110628737979</c:v>
                </c:pt>
              </c:numCache>
            </c:numRef>
          </c:xVal>
          <c:yVal>
            <c:numRef>
              <c:f>Ver130kHz!$M$62:$M$207</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c:v>
                </c:pt>
                <c:pt idx="57">
                  <c:v>22</c:v>
                </c:pt>
                <c:pt idx="58">
                  <c:v>22.085532855961478</c:v>
                </c:pt>
                <c:pt idx="59">
                  <c:v>22.363870170002745</c:v>
                </c:pt>
                <c:pt idx="60">
                  <c:v>22.649312630621786</c:v>
                </c:pt>
                <c:pt idx="61">
                  <c:v>22.942135815937053</c:v>
                </c:pt>
                <c:pt idx="62">
                  <c:v>23.242629742051577</c:v>
                </c:pt>
                <c:pt idx="63">
                  <c:v>23.551099821138678</c:v>
                </c:pt>
                <c:pt idx="64">
                  <c:v>23.867867896846569</c:v>
                </c:pt>
                <c:pt idx="65">
                  <c:v>24.193273364400898</c:v>
                </c:pt>
                <c:pt idx="66">
                  <c:v>24.527674383600029</c:v>
                </c:pt>
                <c:pt idx="67">
                  <c:v>24.871449193816897</c:v>
                </c:pt>
                <c:pt idx="68">
                  <c:v>25.224997541157588</c:v>
                </c:pt>
                <c:pt idx="69">
                  <c:v>25.588742229097747</c:v>
                </c:pt>
                <c:pt idx="70">
                  <c:v>25.963130805243047</c:v>
                </c:pt>
                <c:pt idx="71">
                  <c:v>26.348637398362126</c:v>
                </c:pt>
                <c:pt idx="72">
                  <c:v>26.745764721546333</c:v>
                </c:pt>
                <c:pt idx="73">
                  <c:v>27.155046259291666</c:v>
                </c:pt>
                <c:pt idx="74">
                  <c:v>27.577048658510424</c:v>
                </c:pt>
                <c:pt idx="75">
                  <c:v>28.012374346007061</c:v>
                </c:pt>
                <c:pt idx="76">
                  <c:v>28.461664397843911</c:v>
                </c:pt>
                <c:pt idx="77">
                  <c:v>28.925601689338372</c:v>
                </c:pt>
                <c:pt idx="78">
                  <c:v>29.404914358242689</c:v>
                </c:pt>
                <c:pt idx="79">
                  <c:v>29.900379618046088</c:v>
                </c:pt>
                <c:pt idx="80">
                  <c:v>30.412827963403025</c:v>
                </c:pt>
                <c:pt idx="81">
                  <c:v>30.943147815551129</c:v>
                </c:pt>
                <c:pt idx="82">
                  <c:v>31.492290662377933</c:v>
                </c:pt>
                <c:pt idx="83">
                  <c:v>32.061276755695708</c:v>
                </c:pt>
                <c:pt idx="84">
                  <c:v>32.651201437492347</c:v>
                </c:pt>
                <c:pt idx="85">
                  <c:v>33.263242177688753</c:v>
                </c:pt>
                <c:pt idx="86">
                  <c:v>33.898666418545439</c:v>
                </c:pt>
                <c:pt idx="87">
                  <c:v>34.558840335684494</c:v>
                </c:pt>
                <c:pt idx="88">
                  <c:v>35.245238643165699</c:v>
                </c:pt>
                <c:pt idx="89">
                  <c:v>35.959455590715478</c:v>
                </c:pt>
                <c:pt idx="90">
                  <c:v>36.703217325712536</c:v>
                </c:pt>
                <c:pt idx="91">
                  <c:v>37.478395821697596</c:v>
                </c:pt>
                <c:pt idx="92">
                  <c:v>38.287024610000898</c:v>
                </c:pt>
                <c:pt idx="93">
                  <c:v>39.13131659281958</c:v>
                </c:pt>
                <c:pt idx="94">
                  <c:v>40.013684266285601</c:v>
                </c:pt>
                <c:pt idx="95">
                  <c:v>40.936762742697844</c:v>
                </c:pt>
                <c:pt idx="96">
                  <c:v>41.903436034611062</c:v>
                </c:pt>
                <c:pt idx="97">
                  <c:v>42.916867152995955</c:v>
                </c:pt>
                <c:pt idx="98">
                  <c:v>43.980532681174395</c:v>
                </c:pt>
                <c:pt idx="99">
                  <c:v>45.098262620767592</c:v>
                </c:pt>
                <c:pt idx="100">
                  <c:v>46.274286472002345</c:v>
                </c:pt>
                <c:pt idx="101">
                  <c:v>47.513286716855333</c:v>
                </c:pt>
                <c:pt idx="102">
                  <c:v>48.820461130692351</c:v>
                </c:pt>
                <c:pt idx="103">
                  <c:v>50.201595670712834</c:v>
                </c:pt>
                <c:pt idx="104">
                  <c:v>51.663150096710936</c:v>
                </c:pt>
                <c:pt idx="105">
                  <c:v>53.212358996755519</c:v>
                </c:pt>
                <c:pt idx="106">
                  <c:v>54.857351551354753</c:v>
                </c:pt>
                <c:pt idx="107">
                  <c:v>56.607294220392077</c:v>
                </c:pt>
                <c:pt idx="108">
                  <c:v>58.472561640132355</c:v>
                </c:pt>
                <c:pt idx="109">
                  <c:v>60.464942458863682</c:v>
                </c:pt>
                <c:pt idx="110">
                  <c:v>62.597888738580387</c:v>
                </c:pt>
                <c:pt idx="111">
                  <c:v>64.886820073846522</c:v>
                </c:pt>
                <c:pt idx="112">
                  <c:v>67.349496964769543</c:v>
                </c:pt>
                <c:pt idx="113">
                  <c:v>70.006482568951654</c:v>
                </c:pt>
                <c:pt idx="114">
                  <c:v>72.88171824110465</c:v>
                </c:pt>
                <c:pt idx="115">
                  <c:v>76.003246975060463</c:v>
                </c:pt>
                <c:pt idx="116">
                  <c:v>79.404131075042287</c:v>
                </c:pt>
                <c:pt idx="117">
                  <c:v>83.123627743637471</c:v>
                </c:pt>
                <c:pt idx="118">
                  <c:v>87.208711313092522</c:v>
                </c:pt>
                <c:pt idx="119">
                  <c:v>91.716067533032231</c:v>
                </c:pt>
                <c:pt idx="120">
                  <c:v>96.714740009411429</c:v>
                </c:pt>
                <c:pt idx="121">
                  <c:v>102.28969193952193</c:v>
                </c:pt>
                <c:pt idx="122">
                  <c:v>108.54667505882031</c:v>
                </c:pt>
                <c:pt idx="123">
                  <c:v>108.4032779852792</c:v>
                </c:pt>
                <c:pt idx="124">
                  <c:v>107.76481216359161</c:v>
                </c:pt>
                <c:pt idx="125">
                  <c:v>107.13382308596974</c:v>
                </c:pt>
                <c:pt idx="126">
                  <c:v>106.51018018248969</c:v>
                </c:pt>
                <c:pt idx="127">
                  <c:v>105.89375590590458</c:v>
                </c:pt>
                <c:pt idx="128">
                  <c:v>105.28442564467973</c:v>
                </c:pt>
                <c:pt idx="129">
                  <c:v>103.79134405909961</c:v>
                </c:pt>
                <c:pt idx="130">
                  <c:v>102.34001832040195</c:v>
                </c:pt>
                <c:pt idx="131">
                  <c:v>100.92872095429978</c:v>
                </c:pt>
                <c:pt idx="132">
                  <c:v>99.555818479720472</c:v>
                </c:pt>
                <c:pt idx="133">
                  <c:v>98.219765101793385</c:v>
                </c:pt>
                <c:pt idx="134">
                  <c:v>96.919096905958824</c:v>
                </c:pt>
                <c:pt idx="135">
                  <c:v>94.418438114351403</c:v>
                </c:pt>
                <c:pt idx="136">
                  <c:v>92.043575133610076</c:v>
                </c:pt>
                <c:pt idx="137">
                  <c:v>89.785248609699693</c:v>
                </c:pt>
                <c:pt idx="138">
                  <c:v>87.635086154571709</c:v>
                </c:pt>
                <c:pt idx="139">
                  <c:v>85.585498625468276</c:v>
                </c:pt>
                <c:pt idx="140">
                  <c:v>83.629590626365101</c:v>
                </c:pt>
                <c:pt idx="141">
                  <c:v>81.761083007229828</c:v>
                </c:pt>
                <c:pt idx="142">
                  <c:v>79.974245525662809</c:v>
                </c:pt>
                <c:pt idx="143">
                  <c:v>78.263838149521575</c:v>
                </c:pt>
                <c:pt idx="144">
                  <c:v>76.947301986886018</c:v>
                </c:pt>
                <c:pt idx="145">
                  <c:v>76.947301986886018</c:v>
                </c:pt>
              </c:numCache>
            </c:numRef>
          </c:yVal>
          <c:smooth val="1"/>
        </c:ser>
        <c:ser>
          <c:idx val="3"/>
          <c:order val="2"/>
          <c:tx>
            <c:strRef>
              <c:f>Ver130kHz!$G$25</c:f>
              <c:strCache>
                <c:ptCount val="1"/>
                <c:pt idx="0">
                  <c:v>peak at 230VAC</c:v>
                </c:pt>
              </c:strCache>
            </c:strRef>
          </c:tx>
          <c:spPr>
            <a:ln>
              <a:solidFill>
                <a:srgbClr val="CC00CC"/>
              </a:solidFill>
              <a:prstDash val="solid"/>
            </a:ln>
          </c:spPr>
          <c:marker>
            <c:symbol val="none"/>
          </c:marker>
          <c:xVal>
            <c:numRef>
              <c:f>Ver130kHz!$V$62:$V$207</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4.6603301964424659</c:v>
                </c:pt>
                <c:pt idx="57">
                  <c:v>4.7293604546039614</c:v>
                </c:pt>
                <c:pt idx="58">
                  <c:v>4.7988982098819495</c:v>
                </c:pt>
                <c:pt idx="59">
                  <c:v>4.9108229888559425</c:v>
                </c:pt>
                <c:pt idx="60">
                  <c:v>5.0450675434899441</c:v>
                </c:pt>
                <c:pt idx="61">
                  <c:v>5.1832804676229944</c:v>
                </c:pt>
                <c:pt idx="62">
                  <c:v>5.3256164281031939</c:v>
                </c:pt>
                <c:pt idx="63">
                  <c:v>5.4722382350755785</c:v>
                </c:pt>
                <c:pt idx="64">
                  <c:v>5.623317385067053</c:v>
                </c:pt>
                <c:pt idx="65">
                  <c:v>5.7790346481215167</c:v>
                </c:pt>
                <c:pt idx="66">
                  <c:v>5.9395807032108179</c:v>
                </c:pt>
                <c:pt idx="67">
                  <c:v>6.1051568266167697</c:v>
                </c:pt>
                <c:pt idx="68">
                  <c:v>6.2759756385087684</c:v>
                </c:pt>
                <c:pt idx="69">
                  <c:v>6.4522619135388455</c:v>
                </c:pt>
                <c:pt idx="70">
                  <c:v>6.6342534619512188</c:v>
                </c:pt>
                <c:pt idx="71">
                  <c:v>6.8222020884682104</c:v>
                </c:pt>
                <c:pt idx="72">
                  <c:v>7.0163746370816389</c:v>
                </c:pt>
                <c:pt idx="73">
                  <c:v>7.2170541308647014</c:v>
                </c:pt>
                <c:pt idx="74">
                  <c:v>7.4245410170416815</c:v>
                </c:pt>
                <c:pt idx="75">
                  <c:v>7.6391545288329024</c:v>
                </c:pt>
                <c:pt idx="76">
                  <c:v>7.8612341770556604</c:v>
                </c:pt>
                <c:pt idx="77">
                  <c:v>8.0911413861375188</c:v>
                </c:pt>
                <c:pt idx="78">
                  <c:v>8.3292612911211581</c:v>
                </c:pt>
                <c:pt idx="79">
                  <c:v>8.5760047144519529</c:v>
                </c:pt>
                <c:pt idx="80">
                  <c:v>8.8318103438881597</c:v>
                </c:pt>
                <c:pt idx="81">
                  <c:v>9.0971471358186431</c:v>
                </c:pt>
                <c:pt idx="82">
                  <c:v>9.3725169716831651</c:v>
                </c:pt>
                <c:pt idx="83">
                  <c:v>9.6584575991484716</c:v>
                </c:pt>
                <c:pt idx="84">
                  <c:v>9.9555458942998687</c:v>
                </c:pt>
                <c:pt idx="85">
                  <c:v>10.264401486482658</c:v>
                </c:pt>
                <c:pt idx="86">
                  <c:v>10.585690793715232</c:v>
                </c:pt>
                <c:pt idx="87">
                  <c:v>10.92013152397227</c:v>
                </c:pt>
                <c:pt idx="88">
                  <c:v>11.268497706315477</c:v>
                </c:pt>
                <c:pt idx="89">
                  <c:v>11.631625326090999</c:v>
                </c:pt>
                <c:pt idx="90">
                  <c:v>12.010418650537265</c:v>
                </c:pt>
                <c:pt idx="91">
                  <c:v>12.405857345545449</c:v>
                </c:pt>
                <c:pt idx="92">
                  <c:v>12.819004501472687</c:v>
                </c:pt>
                <c:pt idx="93">
                  <c:v>13.251015706424461</c:v>
                </c:pt>
                <c:pt idx="94">
                  <c:v>13.703149330045333</c:v>
                </c:pt>
                <c:pt idx="95">
                  <c:v>14.176778210518666</c:v>
                </c:pt>
                <c:pt idx="96">
                  <c:v>14.673402973350566</c:v>
                </c:pt>
                <c:pt idx="97">
                  <c:v>15.194667254079606</c:v>
                </c:pt>
                <c:pt idx="98">
                  <c:v>15.742375150190256</c:v>
                </c:pt>
                <c:pt idx="99">
                  <c:v>16.318511292608061</c:v>
                </c:pt>
                <c:pt idx="100">
                  <c:v>16.925264007288796</c:v>
                </c:pt>
                <c:pt idx="101">
                  <c:v>17.565052136539865</c:v>
                </c:pt>
                <c:pt idx="102">
                  <c:v>18.240556212969402</c:v>
                </c:pt>
                <c:pt idx="103">
                  <c:v>18.954754833051698</c:v>
                </c:pt>
                <c:pt idx="104">
                  <c:v>19.710967271047554</c:v>
                </c:pt>
                <c:pt idx="105">
                  <c:v>20.512903619094633</c:v>
                </c:pt>
                <c:pt idx="106">
                  <c:v>21.364724051255301</c:v>
                </c:pt>
                <c:pt idx="107">
                  <c:v>22.271109209098306</c:v>
                </c:pt>
                <c:pt idx="108">
                  <c:v>23.237344222350515</c:v>
                </c:pt>
                <c:pt idx="109">
                  <c:v>24.269419549044329</c:v>
                </c:pt>
                <c:pt idx="110">
                  <c:v>25.374152698879062</c:v>
                </c:pt>
                <c:pt idx="111">
                  <c:v>26.559336065715264</c:v>
                </c:pt>
                <c:pt idx="112">
                  <c:v>27.833917645113871</c:v>
                </c:pt>
                <c:pt idx="113">
                  <c:v>29.208223499928657</c:v>
                </c:pt>
                <c:pt idx="114">
                  <c:v>30.694233676235282</c:v>
                </c:pt>
                <c:pt idx="115">
                  <c:v>32.305927177101303</c:v>
                </c:pt>
                <c:pt idx="116">
                  <c:v>34.059717036873707</c:v>
                </c:pt>
                <c:pt idx="117">
                  <c:v>35.975004200089806</c:v>
                </c:pt>
                <c:pt idx="118">
                  <c:v>38.074889858299585</c:v>
                </c:pt>
                <c:pt idx="119">
                  <c:v>40.387101781173101</c:v>
                </c:pt>
                <c:pt idx="120">
                  <c:v>42.945213595774334</c:v>
                </c:pt>
                <c:pt idx="121">
                  <c:v>45.790271112012825</c:v>
                </c:pt>
                <c:pt idx="122">
                  <c:v>48.972993572158174</c:v>
                </c:pt>
                <c:pt idx="123">
                  <c:v>52.556801785277472</c:v>
                </c:pt>
                <c:pt idx="124">
                  <c:v>53.599978903939217</c:v>
                </c:pt>
                <c:pt idx="125">
                  <c:v>54.653407320408931</c:v>
                </c:pt>
                <c:pt idx="126">
                  <c:v>55.717087034686536</c:v>
                </c:pt>
                <c:pt idx="127">
                  <c:v>56.791018046772116</c:v>
                </c:pt>
                <c:pt idx="128">
                  <c:v>57.875200356665594</c:v>
                </c:pt>
                <c:pt idx="129">
                  <c:v>60.323570600855106</c:v>
                </c:pt>
                <c:pt idx="130">
                  <c:v>62.288424593394268</c:v>
                </c:pt>
                <c:pt idx="131">
                  <c:v>64.263732424014805</c:v>
                </c:pt>
                <c:pt idx="132">
                  <c:v>66.249087491582728</c:v>
                </c:pt>
                <c:pt idx="133">
                  <c:v>68.244104011368222</c:v>
                </c:pt>
                <c:pt idx="134">
                  <c:v>70.248415699731183</c:v>
                </c:pt>
                <c:pt idx="135">
                  <c:v>74.283549742106047</c:v>
                </c:pt>
                <c:pt idx="136">
                  <c:v>78.351905321083805</c:v>
                </c:pt>
                <c:pt idx="137">
                  <c:v>82.451140993037455</c:v>
                </c:pt>
                <c:pt idx="138">
                  <c:v>86.579130296022868</c:v>
                </c:pt>
                <c:pt idx="139">
                  <c:v>90.733937630010601</c:v>
                </c:pt>
                <c:pt idx="140">
                  <c:v>94.913797313177085</c:v>
                </c:pt>
                <c:pt idx="141">
                  <c:v>99.117095336812028</c:v>
                </c:pt>
                <c:pt idx="142">
                  <c:v>103.34235342169713</c:v>
                </c:pt>
                <c:pt idx="143">
                  <c:v>107.58821504423361</c:v>
                </c:pt>
                <c:pt idx="144">
                  <c:v>110.99889747642061</c:v>
                </c:pt>
                <c:pt idx="145">
                  <c:v>110.99889747642061</c:v>
                </c:pt>
              </c:numCache>
            </c:numRef>
          </c:xVal>
          <c:yVal>
            <c:numRef>
              <c:f>Ver130kHz!$U$62:$U$207</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c:v>
                </c:pt>
                <c:pt idx="57">
                  <c:v>22</c:v>
                </c:pt>
                <c:pt idx="58">
                  <c:v>22</c:v>
                </c:pt>
                <c:pt idx="59">
                  <c:v>22.189229879518557</c:v>
                </c:pt>
                <c:pt idx="60">
                  <c:v>22.4702036802687</c:v>
                </c:pt>
                <c:pt idx="61">
                  <c:v>22.758384469692349</c:v>
                </c:pt>
                <c:pt idx="62">
                  <c:v>23.054053139531728</c:v>
                </c:pt>
                <c:pt idx="63">
                  <c:v>23.357505370638009</c:v>
                </c:pt>
                <c:pt idx="64">
                  <c:v>23.669052619272314</c:v>
                </c:pt>
                <c:pt idx="65">
                  <c:v>23.989023183406701</c:v>
                </c:pt>
                <c:pt idx="66">
                  <c:v>24.317763356699224</c:v>
                </c:pt>
                <c:pt idx="67">
                  <c:v>24.65563867867025</c:v>
                </c:pt>
                <c:pt idx="68">
                  <c:v>25.00303529056821</c:v>
                </c:pt>
                <c:pt idx="69">
                  <c:v>25.360361407497972</c:v>
                </c:pt>
                <c:pt idx="70">
                  <c:v>25.728048918611247</c:v>
                </c:pt>
                <c:pt idx="71">
                  <c:v>26.106555128547161</c:v>
                </c:pt>
                <c:pt idx="72">
                  <c:v>26.496364654886566</c:v>
                </c:pt>
                <c:pt idx="73">
                  <c:v>26.897991498173877</c:v>
                </c:pt>
                <c:pt idx="74">
                  <c:v>27.311981303098399</c:v>
                </c:pt>
                <c:pt idx="75">
                  <c:v>27.738913831752257</c:v>
                </c:pt>
                <c:pt idx="76">
                  <c:v>28.179405672539168</c:v>
                </c:pt>
                <c:pt idx="77">
                  <c:v>28.634113211351725</c:v>
                </c:pt>
                <c:pt idx="78">
                  <c:v>29.103735895126768</c:v>
                </c:pt>
                <c:pt idx="79">
                  <c:v>29.589019821905662</c:v>
                </c:pt>
                <c:pt idx="80">
                  <c:v>30.090761696154988</c:v>
                </c:pt>
                <c:pt idx="81">
                  <c:v>30.609813193451771</c:v>
                </c:pt>
                <c:pt idx="82">
                  <c:v>31.147085784830313</c:v>
                </c:pt>
                <c:pt idx="83">
                  <c:v>31.70355607827641</c:v>
                </c:pt>
                <c:pt idx="84">
                  <c:v>32.280271743220524</c:v>
                </c:pt>
                <c:pt idx="85">
                  <c:v>32.878358093642213</c:v>
                </c:pt>
                <c:pt idx="86">
                  <c:v>33.499025416817254</c:v>
                </c:pt>
                <c:pt idx="87">
                  <c:v>34.143577148135357</c:v>
                </c:pt>
                <c:pt idx="88">
                  <c:v>34.813419008178222</c:v>
                </c:pt>
                <c:pt idx="89">
                  <c:v>35.510069236848246</c:v>
                </c:pt>
                <c:pt idx="90">
                  <c:v>36.235170081357218</c:v>
                </c:pt>
                <c:pt idx="91">
                  <c:v>36.990500721033882</c:v>
                </c:pt>
                <c:pt idx="92">
                  <c:v>37.777991843069685</c:v>
                </c:pt>
                <c:pt idx="93">
                  <c:v>38.599742120582007</c:v>
                </c:pt>
                <c:pt idx="94">
                  <c:v>39.458036889091538</c:v>
                </c:pt>
                <c:pt idx="95">
                  <c:v>40.355369371379176</c:v>
                </c:pt>
                <c:pt idx="96">
                  <c:v>41.294464865839714</c:v>
                </c:pt>
                <c:pt idx="97">
                  <c:v>42.278308392570892</c:v>
                </c:pt>
                <c:pt idx="98">
                  <c:v>43.310176387937673</c:v>
                </c:pt>
                <c:pt idx="99">
                  <c:v>44.393673156580789</c:v>
                </c:pt>
                <c:pt idx="100">
                  <c:v>45.532772935370318</c:v>
                </c:pt>
                <c:pt idx="101">
                  <c:v>46.731868603829348</c:v>
                </c:pt>
                <c:pt idx="102">
                  <c:v>47.995828299400848</c:v>
                </c:pt>
                <c:pt idx="103">
                  <c:v>49.330061475780631</c:v>
                </c:pt>
                <c:pt idx="104">
                  <c:v>50.740596294410743</c:v>
                </c:pt>
                <c:pt idx="105">
                  <c:v>52.234170684312204</c:v>
                </c:pt>
                <c:pt idx="106">
                  <c:v>53.818339972012524</c:v>
                </c:pt>
                <c:pt idx="107">
                  <c:v>55.501604709382931</c:v>
                </c:pt>
                <c:pt idx="108">
                  <c:v>57.293563264238863</c:v>
                </c:pt>
                <c:pt idx="109">
                  <c:v>59.205094956965887</c:v>
                </c:pt>
                <c:pt idx="110">
                  <c:v>61.248581123323298</c:v>
                </c:pt>
                <c:pt idx="111">
                  <c:v>63.438173594259723</c:v>
                </c:pt>
                <c:pt idx="112">
                  <c:v>65.790122898531038</c:v>
                </c:pt>
                <c:pt idx="113">
                  <c:v>68.323182284303002</c:v>
                </c:pt>
                <c:pt idx="114">
                  <c:v>71.059108812352306</c:v>
                </c:pt>
                <c:pt idx="115">
                  <c:v>74.023289865784008</c:v>
                </c:pt>
                <c:pt idx="116">
                  <c:v>77.245533292043987</c:v>
                </c:pt>
                <c:pt idx="117">
                  <c:v>80.761073306990667</c:v>
                </c:pt>
                <c:pt idx="118">
                  <c:v>84.611864175690584</c:v>
                </c:pt>
                <c:pt idx="119">
                  <c:v>88.848262530005158</c:v>
                </c:pt>
                <c:pt idx="120">
                  <c:v>93.531241711765645</c:v>
                </c:pt>
                <c:pt idx="121">
                  <c:v>98.735345355878977</c:v>
                </c:pt>
                <c:pt idx="122">
                  <c:v>104.55268509777957</c:v>
                </c:pt>
                <c:pt idx="123">
                  <c:v>111.09843999342985</c:v>
                </c:pt>
                <c:pt idx="124">
                  <c:v>111.09843999342976</c:v>
                </c:pt>
                <c:pt idx="125">
                  <c:v>111.09843999342976</c:v>
                </c:pt>
                <c:pt idx="126">
                  <c:v>111.09843999342976</c:v>
                </c:pt>
                <c:pt idx="127">
                  <c:v>111.09843999342976</c:v>
                </c:pt>
                <c:pt idx="128">
                  <c:v>111.09843999342976</c:v>
                </c:pt>
                <c:pt idx="129">
                  <c:v>110.53601692357235</c:v>
                </c:pt>
                <c:pt idx="130">
                  <c:v>109.06477131558137</c:v>
                </c:pt>
                <c:pt idx="131">
                  <c:v>107.63217612346716</c:v>
                </c:pt>
                <c:pt idx="132">
                  <c:v>106.2367280426251</c:v>
                </c:pt>
                <c:pt idx="133">
                  <c:v>104.87700073182707</c:v>
                </c:pt>
                <c:pt idx="134">
                  <c:v>103.55163995018016</c:v>
                </c:pt>
                <c:pt idx="135">
                  <c:v>100.99893485170311</c:v>
                </c:pt>
                <c:pt idx="136">
                  <c:v>98.56905796194458</c:v>
                </c:pt>
                <c:pt idx="137">
                  <c:v>96.253352386735116</c:v>
                </c:pt>
                <c:pt idx="138">
                  <c:v>94.043956072171923</c:v>
                </c:pt>
                <c:pt idx="139">
                  <c:v>91.933712627890969</c:v>
                </c:pt>
                <c:pt idx="140">
                  <c:v>89.916093893014789</c:v>
                </c:pt>
                <c:pt idx="141">
                  <c:v>87.985132479546962</c:v>
                </c:pt>
                <c:pt idx="142">
                  <c:v>86.135362824875557</c:v>
                </c:pt>
                <c:pt idx="143">
                  <c:v>84.361769526921961</c:v>
                </c:pt>
                <c:pt idx="144">
                  <c:v>82.994630954338049</c:v>
                </c:pt>
                <c:pt idx="145">
                  <c:v>82.994630954338049</c:v>
                </c:pt>
              </c:numCache>
            </c:numRef>
          </c:yVal>
          <c:smooth val="1"/>
        </c:ser>
        <c:ser>
          <c:idx val="9"/>
          <c:order val="3"/>
          <c:tx>
            <c:strRef>
              <c:f>Ver130kHz!$S$60</c:f>
              <c:strCache>
                <c:ptCount val="1"/>
                <c:pt idx="0">
                  <c:v>Peak at 264VAC </c:v>
                </c:pt>
              </c:strCache>
            </c:strRef>
          </c:tx>
          <c:spPr>
            <a:ln>
              <a:solidFill>
                <a:srgbClr val="CC0000"/>
              </a:solidFill>
            </a:ln>
          </c:spPr>
          <c:marker>
            <c:symbol val="none"/>
          </c:marker>
          <c:xVal>
            <c:numRef>
              <c:f>Ver130kHz!$V$62:$V$207</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4.6603301964424659</c:v>
                </c:pt>
                <c:pt idx="57">
                  <c:v>4.7293604546039614</c:v>
                </c:pt>
                <c:pt idx="58">
                  <c:v>4.7988982098819495</c:v>
                </c:pt>
                <c:pt idx="59">
                  <c:v>4.9108229888559425</c:v>
                </c:pt>
                <c:pt idx="60">
                  <c:v>5.0450675434899441</c:v>
                </c:pt>
                <c:pt idx="61">
                  <c:v>5.1832804676229944</c:v>
                </c:pt>
                <c:pt idx="62">
                  <c:v>5.3256164281031939</c:v>
                </c:pt>
                <c:pt idx="63">
                  <c:v>5.4722382350755785</c:v>
                </c:pt>
                <c:pt idx="64">
                  <c:v>5.623317385067053</c:v>
                </c:pt>
                <c:pt idx="65">
                  <c:v>5.7790346481215167</c:v>
                </c:pt>
                <c:pt idx="66">
                  <c:v>5.9395807032108179</c:v>
                </c:pt>
                <c:pt idx="67">
                  <c:v>6.1051568266167697</c:v>
                </c:pt>
                <c:pt idx="68">
                  <c:v>6.2759756385087684</c:v>
                </c:pt>
                <c:pt idx="69">
                  <c:v>6.4522619135388455</c:v>
                </c:pt>
                <c:pt idx="70">
                  <c:v>6.6342534619512188</c:v>
                </c:pt>
                <c:pt idx="71">
                  <c:v>6.8222020884682104</c:v>
                </c:pt>
                <c:pt idx="72">
                  <c:v>7.0163746370816389</c:v>
                </c:pt>
                <c:pt idx="73">
                  <c:v>7.2170541308647014</c:v>
                </c:pt>
                <c:pt idx="74">
                  <c:v>7.4245410170416815</c:v>
                </c:pt>
                <c:pt idx="75">
                  <c:v>7.6391545288329024</c:v>
                </c:pt>
                <c:pt idx="76">
                  <c:v>7.8612341770556604</c:v>
                </c:pt>
                <c:pt idx="77">
                  <c:v>8.0911413861375188</c:v>
                </c:pt>
                <c:pt idx="78">
                  <c:v>8.3292612911211581</c:v>
                </c:pt>
                <c:pt idx="79">
                  <c:v>8.5760047144519529</c:v>
                </c:pt>
                <c:pt idx="80">
                  <c:v>8.8318103438881597</c:v>
                </c:pt>
                <c:pt idx="81">
                  <c:v>9.0971471358186431</c:v>
                </c:pt>
                <c:pt idx="82">
                  <c:v>9.3725169716831651</c:v>
                </c:pt>
                <c:pt idx="83">
                  <c:v>9.6584575991484716</c:v>
                </c:pt>
                <c:pt idx="84">
                  <c:v>9.9555458942998687</c:v>
                </c:pt>
                <c:pt idx="85">
                  <c:v>10.264401486482658</c:v>
                </c:pt>
                <c:pt idx="86">
                  <c:v>10.585690793715232</c:v>
                </c:pt>
                <c:pt idx="87">
                  <c:v>10.92013152397227</c:v>
                </c:pt>
                <c:pt idx="88">
                  <c:v>11.268497706315477</c:v>
                </c:pt>
                <c:pt idx="89">
                  <c:v>11.631625326090999</c:v>
                </c:pt>
                <c:pt idx="90">
                  <c:v>12.010418650537265</c:v>
                </c:pt>
                <c:pt idx="91">
                  <c:v>12.405857345545449</c:v>
                </c:pt>
                <c:pt idx="92">
                  <c:v>12.819004501472687</c:v>
                </c:pt>
                <c:pt idx="93">
                  <c:v>13.251015706424461</c:v>
                </c:pt>
                <c:pt idx="94">
                  <c:v>13.703149330045333</c:v>
                </c:pt>
                <c:pt idx="95">
                  <c:v>14.176778210518666</c:v>
                </c:pt>
                <c:pt idx="96">
                  <c:v>14.673402973350566</c:v>
                </c:pt>
                <c:pt idx="97">
                  <c:v>15.194667254079606</c:v>
                </c:pt>
                <c:pt idx="98">
                  <c:v>15.742375150190256</c:v>
                </c:pt>
                <c:pt idx="99">
                  <c:v>16.318511292608061</c:v>
                </c:pt>
                <c:pt idx="100">
                  <c:v>16.925264007288796</c:v>
                </c:pt>
                <c:pt idx="101">
                  <c:v>17.565052136539865</c:v>
                </c:pt>
                <c:pt idx="102">
                  <c:v>18.240556212969402</c:v>
                </c:pt>
                <c:pt idx="103">
                  <c:v>18.954754833051698</c:v>
                </c:pt>
                <c:pt idx="104">
                  <c:v>19.710967271047554</c:v>
                </c:pt>
                <c:pt idx="105">
                  <c:v>20.512903619094633</c:v>
                </c:pt>
                <c:pt idx="106">
                  <c:v>21.364724051255301</c:v>
                </c:pt>
                <c:pt idx="107">
                  <c:v>22.271109209098306</c:v>
                </c:pt>
                <c:pt idx="108">
                  <c:v>23.237344222350515</c:v>
                </c:pt>
                <c:pt idx="109">
                  <c:v>24.269419549044329</c:v>
                </c:pt>
                <c:pt idx="110">
                  <c:v>25.374152698879062</c:v>
                </c:pt>
                <c:pt idx="111">
                  <c:v>26.559336065715264</c:v>
                </c:pt>
                <c:pt idx="112">
                  <c:v>27.833917645113871</c:v>
                </c:pt>
                <c:pt idx="113">
                  <c:v>29.208223499928657</c:v>
                </c:pt>
                <c:pt idx="114">
                  <c:v>30.694233676235282</c:v>
                </c:pt>
                <c:pt idx="115">
                  <c:v>32.305927177101303</c:v>
                </c:pt>
                <c:pt idx="116">
                  <c:v>34.059717036873707</c:v>
                </c:pt>
                <c:pt idx="117">
                  <c:v>35.975004200089806</c:v>
                </c:pt>
                <c:pt idx="118">
                  <c:v>38.074889858299585</c:v>
                </c:pt>
                <c:pt idx="119">
                  <c:v>40.387101781173101</c:v>
                </c:pt>
                <c:pt idx="120">
                  <c:v>42.945213595774334</c:v>
                </c:pt>
                <c:pt idx="121">
                  <c:v>45.790271112012825</c:v>
                </c:pt>
                <c:pt idx="122">
                  <c:v>48.972993572158174</c:v>
                </c:pt>
                <c:pt idx="123">
                  <c:v>52.556801785277472</c:v>
                </c:pt>
                <c:pt idx="124">
                  <c:v>53.599978903939217</c:v>
                </c:pt>
                <c:pt idx="125">
                  <c:v>54.653407320408931</c:v>
                </c:pt>
                <c:pt idx="126">
                  <c:v>55.717087034686536</c:v>
                </c:pt>
                <c:pt idx="127">
                  <c:v>56.791018046772116</c:v>
                </c:pt>
                <c:pt idx="128">
                  <c:v>57.875200356665594</c:v>
                </c:pt>
                <c:pt idx="129">
                  <c:v>60.323570600855106</c:v>
                </c:pt>
                <c:pt idx="130">
                  <c:v>62.288424593394268</c:v>
                </c:pt>
                <c:pt idx="131">
                  <c:v>64.263732424014805</c:v>
                </c:pt>
                <c:pt idx="132">
                  <c:v>66.249087491582728</c:v>
                </c:pt>
                <c:pt idx="133">
                  <c:v>68.244104011368222</c:v>
                </c:pt>
                <c:pt idx="134">
                  <c:v>70.248415699731183</c:v>
                </c:pt>
                <c:pt idx="135">
                  <c:v>74.283549742106047</c:v>
                </c:pt>
                <c:pt idx="136">
                  <c:v>78.351905321083805</c:v>
                </c:pt>
                <c:pt idx="137">
                  <c:v>82.451140993037455</c:v>
                </c:pt>
                <c:pt idx="138">
                  <c:v>86.579130296022868</c:v>
                </c:pt>
                <c:pt idx="139">
                  <c:v>90.733937630010601</c:v>
                </c:pt>
                <c:pt idx="140">
                  <c:v>94.913797313177085</c:v>
                </c:pt>
                <c:pt idx="141">
                  <c:v>99.117095336812028</c:v>
                </c:pt>
                <c:pt idx="142">
                  <c:v>103.34235342169713</c:v>
                </c:pt>
                <c:pt idx="143">
                  <c:v>107.58821504423361</c:v>
                </c:pt>
                <c:pt idx="144">
                  <c:v>110.99889747642061</c:v>
                </c:pt>
                <c:pt idx="145">
                  <c:v>110.99889747642061</c:v>
                </c:pt>
              </c:numCache>
            </c:numRef>
          </c:xVal>
          <c:yVal>
            <c:numRef>
              <c:f>Ver130kHz!$U$62:$U$207</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c:v>
                </c:pt>
                <c:pt idx="57">
                  <c:v>22</c:v>
                </c:pt>
                <c:pt idx="58">
                  <c:v>22</c:v>
                </c:pt>
                <c:pt idx="59">
                  <c:v>22.189229879518557</c:v>
                </c:pt>
                <c:pt idx="60">
                  <c:v>22.4702036802687</c:v>
                </c:pt>
                <c:pt idx="61">
                  <c:v>22.758384469692349</c:v>
                </c:pt>
                <c:pt idx="62">
                  <c:v>23.054053139531728</c:v>
                </c:pt>
                <c:pt idx="63">
                  <c:v>23.357505370638009</c:v>
                </c:pt>
                <c:pt idx="64">
                  <c:v>23.669052619272314</c:v>
                </c:pt>
                <c:pt idx="65">
                  <c:v>23.989023183406701</c:v>
                </c:pt>
                <c:pt idx="66">
                  <c:v>24.317763356699224</c:v>
                </c:pt>
                <c:pt idx="67">
                  <c:v>24.65563867867025</c:v>
                </c:pt>
                <c:pt idx="68">
                  <c:v>25.00303529056821</c:v>
                </c:pt>
                <c:pt idx="69">
                  <c:v>25.360361407497972</c:v>
                </c:pt>
                <c:pt idx="70">
                  <c:v>25.728048918611247</c:v>
                </c:pt>
                <c:pt idx="71">
                  <c:v>26.106555128547161</c:v>
                </c:pt>
                <c:pt idx="72">
                  <c:v>26.496364654886566</c:v>
                </c:pt>
                <c:pt idx="73">
                  <c:v>26.897991498173877</c:v>
                </c:pt>
                <c:pt idx="74">
                  <c:v>27.311981303098399</c:v>
                </c:pt>
                <c:pt idx="75">
                  <c:v>27.738913831752257</c:v>
                </c:pt>
                <c:pt idx="76">
                  <c:v>28.179405672539168</c:v>
                </c:pt>
                <c:pt idx="77">
                  <c:v>28.634113211351725</c:v>
                </c:pt>
                <c:pt idx="78">
                  <c:v>29.103735895126768</c:v>
                </c:pt>
                <c:pt idx="79">
                  <c:v>29.589019821905662</c:v>
                </c:pt>
                <c:pt idx="80">
                  <c:v>30.090761696154988</c:v>
                </c:pt>
                <c:pt idx="81">
                  <c:v>30.609813193451771</c:v>
                </c:pt>
                <c:pt idx="82">
                  <c:v>31.147085784830313</c:v>
                </c:pt>
                <c:pt idx="83">
                  <c:v>31.70355607827641</c:v>
                </c:pt>
                <c:pt idx="84">
                  <c:v>32.280271743220524</c:v>
                </c:pt>
                <c:pt idx="85">
                  <c:v>32.878358093642213</c:v>
                </c:pt>
                <c:pt idx="86">
                  <c:v>33.499025416817254</c:v>
                </c:pt>
                <c:pt idx="87">
                  <c:v>34.143577148135357</c:v>
                </c:pt>
                <c:pt idx="88">
                  <c:v>34.813419008178222</c:v>
                </c:pt>
                <c:pt idx="89">
                  <c:v>35.510069236848246</c:v>
                </c:pt>
                <c:pt idx="90">
                  <c:v>36.235170081357218</c:v>
                </c:pt>
                <c:pt idx="91">
                  <c:v>36.990500721033882</c:v>
                </c:pt>
                <c:pt idx="92">
                  <c:v>37.777991843069685</c:v>
                </c:pt>
                <c:pt idx="93">
                  <c:v>38.599742120582007</c:v>
                </c:pt>
                <c:pt idx="94">
                  <c:v>39.458036889091538</c:v>
                </c:pt>
                <c:pt idx="95">
                  <c:v>40.355369371379176</c:v>
                </c:pt>
                <c:pt idx="96">
                  <c:v>41.294464865839714</c:v>
                </c:pt>
                <c:pt idx="97">
                  <c:v>42.278308392570892</c:v>
                </c:pt>
                <c:pt idx="98">
                  <c:v>43.310176387937673</c:v>
                </c:pt>
                <c:pt idx="99">
                  <c:v>44.393673156580789</c:v>
                </c:pt>
                <c:pt idx="100">
                  <c:v>45.532772935370318</c:v>
                </c:pt>
                <c:pt idx="101">
                  <c:v>46.731868603829348</c:v>
                </c:pt>
                <c:pt idx="102">
                  <c:v>47.995828299400848</c:v>
                </c:pt>
                <c:pt idx="103">
                  <c:v>49.330061475780631</c:v>
                </c:pt>
                <c:pt idx="104">
                  <c:v>50.740596294410743</c:v>
                </c:pt>
                <c:pt idx="105">
                  <c:v>52.234170684312204</c:v>
                </c:pt>
                <c:pt idx="106">
                  <c:v>53.818339972012524</c:v>
                </c:pt>
                <c:pt idx="107">
                  <c:v>55.501604709382931</c:v>
                </c:pt>
                <c:pt idx="108">
                  <c:v>57.293563264238863</c:v>
                </c:pt>
                <c:pt idx="109">
                  <c:v>59.205094956965887</c:v>
                </c:pt>
                <c:pt idx="110">
                  <c:v>61.248581123323298</c:v>
                </c:pt>
                <c:pt idx="111">
                  <c:v>63.438173594259723</c:v>
                </c:pt>
                <c:pt idx="112">
                  <c:v>65.790122898531038</c:v>
                </c:pt>
                <c:pt idx="113">
                  <c:v>68.323182284303002</c:v>
                </c:pt>
                <c:pt idx="114">
                  <c:v>71.059108812352306</c:v>
                </c:pt>
                <c:pt idx="115">
                  <c:v>74.023289865784008</c:v>
                </c:pt>
                <c:pt idx="116">
                  <c:v>77.245533292043987</c:v>
                </c:pt>
                <c:pt idx="117">
                  <c:v>80.761073306990667</c:v>
                </c:pt>
                <c:pt idx="118">
                  <c:v>84.611864175690584</c:v>
                </c:pt>
                <c:pt idx="119">
                  <c:v>88.848262530005158</c:v>
                </c:pt>
                <c:pt idx="120">
                  <c:v>93.531241711765645</c:v>
                </c:pt>
                <c:pt idx="121">
                  <c:v>98.735345355878977</c:v>
                </c:pt>
                <c:pt idx="122">
                  <c:v>104.55268509777957</c:v>
                </c:pt>
                <c:pt idx="123">
                  <c:v>111.09843999342985</c:v>
                </c:pt>
                <c:pt idx="124">
                  <c:v>111.09843999342976</c:v>
                </c:pt>
                <c:pt idx="125">
                  <c:v>111.09843999342976</c:v>
                </c:pt>
                <c:pt idx="126">
                  <c:v>111.09843999342976</c:v>
                </c:pt>
                <c:pt idx="127">
                  <c:v>111.09843999342976</c:v>
                </c:pt>
                <c:pt idx="128">
                  <c:v>111.09843999342976</c:v>
                </c:pt>
                <c:pt idx="129">
                  <c:v>110.53601692357235</c:v>
                </c:pt>
                <c:pt idx="130">
                  <c:v>109.06477131558137</c:v>
                </c:pt>
                <c:pt idx="131">
                  <c:v>107.63217612346716</c:v>
                </c:pt>
                <c:pt idx="132">
                  <c:v>106.2367280426251</c:v>
                </c:pt>
                <c:pt idx="133">
                  <c:v>104.87700073182707</c:v>
                </c:pt>
                <c:pt idx="134">
                  <c:v>103.55163995018016</c:v>
                </c:pt>
                <c:pt idx="135">
                  <c:v>100.99893485170311</c:v>
                </c:pt>
                <c:pt idx="136">
                  <c:v>98.56905796194458</c:v>
                </c:pt>
                <c:pt idx="137">
                  <c:v>96.253352386735116</c:v>
                </c:pt>
                <c:pt idx="138">
                  <c:v>94.043956072171923</c:v>
                </c:pt>
                <c:pt idx="139">
                  <c:v>91.933712627890969</c:v>
                </c:pt>
                <c:pt idx="140">
                  <c:v>89.916093893014789</c:v>
                </c:pt>
                <c:pt idx="141">
                  <c:v>87.985132479546962</c:v>
                </c:pt>
                <c:pt idx="142">
                  <c:v>86.135362824875557</c:v>
                </c:pt>
                <c:pt idx="143">
                  <c:v>84.361769526921961</c:v>
                </c:pt>
                <c:pt idx="144">
                  <c:v>82.994630954338049</c:v>
                </c:pt>
                <c:pt idx="145">
                  <c:v>82.994630954338049</c:v>
                </c:pt>
              </c:numCache>
            </c:numRef>
          </c:yVal>
          <c:smooth val="1"/>
        </c:ser>
        <c:ser>
          <c:idx val="4"/>
          <c:order val="4"/>
          <c:tx>
            <c:strRef>
              <c:f>Ver130kHz!$W$60</c:f>
              <c:strCache>
                <c:ptCount val="1"/>
                <c:pt idx="0">
                  <c:v>Peak at 275VAC </c:v>
                </c:pt>
              </c:strCache>
            </c:strRef>
          </c:tx>
          <c:spPr>
            <a:ln>
              <a:solidFill>
                <a:srgbClr val="CC9900"/>
              </a:solidFill>
            </a:ln>
          </c:spPr>
          <c:marker>
            <c:symbol val="none"/>
          </c:marker>
          <c:xVal>
            <c:numRef>
              <c:f>Ver130kHz!$Z$62:$Z$207</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4.6603301964424659</c:v>
                </c:pt>
                <c:pt idx="57">
                  <c:v>4.7293604546039614</c:v>
                </c:pt>
                <c:pt idx="58">
                  <c:v>4.7988982098819495</c:v>
                </c:pt>
                <c:pt idx="59">
                  <c:v>4.9015273382129774</c:v>
                </c:pt>
                <c:pt idx="60">
                  <c:v>5.0353970893832773</c:v>
                </c:pt>
                <c:pt idx="61">
                  <c:v>5.1732179110027614</c:v>
                </c:pt>
                <c:pt idx="62">
                  <c:v>5.3151434928609138</c:v>
                </c:pt>
                <c:pt idx="63">
                  <c:v>5.4613356004796376</c:v>
                </c:pt>
                <c:pt idx="64">
                  <c:v>5.6119646126049068</c:v>
                </c:pt>
                <c:pt idx="65">
                  <c:v>5.7672101022057394</c:v>
                </c:pt>
                <c:pt idx="66">
                  <c:v>5.9272614651453956</c:v>
                </c:pt>
                <c:pt idx="67">
                  <c:v>6.0923186011515522</c:v>
                </c:pt>
                <c:pt idx="68">
                  <c:v>6.2625926522327342</c:v>
                </c:pt>
                <c:pt idx="69">
                  <c:v>6.4383068042754337</c:v>
                </c:pt>
                <c:pt idx="70">
                  <c:v>6.6196971582199771</c:v>
                </c:pt>
                <c:pt idx="71">
                  <c:v>6.8070136779647106</c:v>
                </c:pt>
                <c:pt idx="72">
                  <c:v>7.0005212229999332</c:v>
                </c:pt>
                <c:pt idx="73">
                  <c:v>7.2005006747412414</c:v>
                </c:pt>
                <c:pt idx="74">
                  <c:v>7.4072501666337471</c:v>
                </c:pt>
                <c:pt idx="75">
                  <c:v>7.621086429355068</c:v>
                </c:pt>
                <c:pt idx="76">
                  <c:v>7.8423462638806951</c:v>
                </c:pt>
                <c:pt idx="77">
                  <c:v>8.0713881568189958</c:v>
                </c:pt>
                <c:pt idx="78">
                  <c:v>8.3085940543085108</c:v>
                </c:pt>
                <c:pt idx="79">
                  <c:v>8.5543713129384678</c:v>
                </c:pt>
                <c:pt idx="80">
                  <c:v>8.8091548486509925</c:v>
                </c:pt>
                <c:pt idx="81">
                  <c:v>9.073409507468277</c:v>
                </c:pt>
                <c:pt idx="82">
                  <c:v>9.3476326852271558</c:v>
                </c:pt>
                <c:pt idx="83">
                  <c:v>9.6323572273781277</c:v>
                </c:pt>
                <c:pt idx="84">
                  <c:v>9.9281546444128921</c:v>
                </c:pt>
                <c:pt idx="85">
                  <c:v>10.235638683741493</c:v>
                </c:pt>
                <c:pt idx="86">
                  <c:v>10.555469304987025</c:v>
                </c:pt>
                <c:pt idx="87">
                  <c:v>10.88835711287469</c:v>
                </c:pt>
                <c:pt idx="88">
                  <c:v>11.235068310369726</c:v>
                </c:pt>
                <c:pt idx="89">
                  <c:v>11.596430244718295</c:v>
                </c:pt>
                <c:pt idx="90">
                  <c:v>11.973337630877669</c:v>
                </c:pt>
                <c:pt idx="91">
                  <c:v>12.36675955086654</c:v>
                </c:pt>
                <c:pt idx="92">
                  <c:v>12.777747344293219</c:v>
                </c:pt>
                <c:pt idx="93">
                  <c:v>13.207443525310479</c:v>
                </c:pt>
                <c:pt idx="94">
                  <c:v>13.657091885223785</c:v>
                </c:pt>
                <c:pt idx="95">
                  <c:v>14.128048968848223</c:v>
                </c:pt>
                <c:pt idx="96">
                  <c:v>14.621797147603383</c:v>
                </c:pt>
                <c:pt idx="97">
                  <c:v>15.139959554684125</c:v>
                </c:pt>
                <c:pt idx="98">
                  <c:v>15.68431719926205</c:v>
                </c:pt>
                <c:pt idx="99">
                  <c:v>16.256828639866921</c:v>
                </c:pt>
                <c:pt idx="100">
                  <c:v>16.859652674829526</c:v>
                </c:pt>
                <c:pt idx="101">
                  <c:v>17.495174603748538</c:v>
                </c:pt>
                <c:pt idx="102">
                  <c:v>18.166036733319586</c:v>
                </c:pt>
                <c:pt idx="103">
                  <c:v>18.875173949979985</c:v>
                </c:pt>
                <c:pt idx="104">
                  <c:v>19.62585536914753</c:v>
                </c:pt>
                <c:pt idx="105">
                  <c:v>20.421733307561055</c:v>
                </c:pt>
                <c:pt idx="106">
                  <c:v>21.266901126280725</c:v>
                </c:pt>
                <c:pt idx="107">
                  <c:v>22.165961877298997</c:v>
                </c:pt>
                <c:pt idx="108">
                  <c:v>23.124110183547593</c:v>
                </c:pt>
                <c:pt idx="109">
                  <c:v>24.14723042735617</c:v>
                </c:pt>
                <c:pt idx="110">
                  <c:v>25.242015167089761</c:v>
                </c:pt>
                <c:pt idx="111">
                  <c:v>26.416108816666711</c:v>
                </c:pt>
                <c:pt idx="112">
                  <c:v>27.678283107587614</c:v>
                </c:pt>
                <c:pt idx="113">
                  <c:v>29.038652849604556</c:v>
                </c:pt>
                <c:pt idx="114">
                  <c:v>30.508943217842987</c:v>
                </c:pt>
                <c:pt idx="115">
                  <c:v>32.102823517515446</c:v>
                </c:pt>
                <c:pt idx="116">
                  <c:v>33.836327549816524</c:v>
                </c:pt>
                <c:pt idx="117">
                  <c:v>35.728387979160509</c:v>
                </c:pt>
                <c:pt idx="118">
                  <c:v>37.801522478674627</c:v>
                </c:pt>
                <c:pt idx="119">
                  <c:v>40.082724448327745</c:v>
                </c:pt>
                <c:pt idx="120">
                  <c:v>42.604633184845703</c:v>
                </c:pt>
                <c:pt idx="121">
                  <c:v>45.407091434027969</c:v>
                </c:pt>
                <c:pt idx="122">
                  <c:v>48.53924867839185</c:v>
                </c:pt>
                <c:pt idx="123">
                  <c:v>52.062447079374181</c:v>
                </c:pt>
                <c:pt idx="124">
                  <c:v>53.09581196631359</c:v>
                </c:pt>
                <c:pt idx="125">
                  <c:v>54.139331726295012</c:v>
                </c:pt>
                <c:pt idx="126">
                  <c:v>55.193006359318325</c:v>
                </c:pt>
                <c:pt idx="127">
                  <c:v>56.256835865383643</c:v>
                </c:pt>
                <c:pt idx="128">
                  <c:v>57.330820244490866</c:v>
                </c:pt>
                <c:pt idx="129">
                  <c:v>60.060208761817456</c:v>
                </c:pt>
                <c:pt idx="130">
                  <c:v>62.297426214166194</c:v>
                </c:pt>
                <c:pt idx="131">
                  <c:v>64.273103468343962</c:v>
                </c:pt>
                <c:pt idx="132">
                  <c:v>66.258832355083968</c:v>
                </c:pt>
                <c:pt idx="133">
                  <c:v>68.254226957787736</c:v>
                </c:pt>
                <c:pt idx="134">
                  <c:v>70.25892086577015</c:v>
                </c:pt>
                <c:pt idx="135">
                  <c:v>74.294831272307633</c:v>
                </c:pt>
                <c:pt idx="136">
                  <c:v>78.363978350206153</c:v>
                </c:pt>
                <c:pt idx="137">
                  <c:v>82.464019794749163</c:v>
                </c:pt>
                <c:pt idx="138">
                  <c:v>86.592828343522029</c:v>
                </c:pt>
                <c:pt idx="139">
                  <c:v>90.74846765186507</c:v>
                </c:pt>
                <c:pt idx="140">
                  <c:v>94.929171344755161</c:v>
                </c:pt>
                <c:pt idx="141">
                  <c:v>99.133324767654884</c:v>
                </c:pt>
                <c:pt idx="142">
                  <c:v>103.35944903916429</c:v>
                </c:pt>
                <c:pt idx="143">
                  <c:v>107.60618707373024</c:v>
                </c:pt>
                <c:pt idx="144">
                  <c:v>111.01757764395551</c:v>
                </c:pt>
                <c:pt idx="145">
                  <c:v>111.01757764395551</c:v>
                </c:pt>
              </c:numCache>
            </c:numRef>
          </c:xVal>
          <c:yVal>
            <c:numRef>
              <c:f>Ver130kHz!$Y$62:$Y$207</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c:v>
                </c:pt>
                <c:pt idx="57">
                  <c:v>22</c:v>
                </c:pt>
                <c:pt idx="58">
                  <c:v>22</c:v>
                </c:pt>
                <c:pt idx="59">
                  <c:v>22.147228094998013</c:v>
                </c:pt>
                <c:pt idx="60">
                  <c:v>22.427132488142071</c:v>
                </c:pt>
                <c:pt idx="61">
                  <c:v>22.71420250158512</c:v>
                </c:pt>
                <c:pt idx="62">
                  <c:v>23.008716865531913</c:v>
                </c:pt>
                <c:pt idx="63">
                  <c:v>23.310968956251571</c:v>
                </c:pt>
                <c:pt idx="64">
                  <c:v>23.621267770866861</c:v>
                </c:pt>
                <c:pt idx="65">
                  <c:v>23.939938981047916</c:v>
                </c:pt>
                <c:pt idx="66">
                  <c:v>24.267326073163733</c:v>
                </c:pt>
                <c:pt idx="67">
                  <c:v>24.603791583282675</c:v>
                </c:pt>
                <c:pt idx="68">
                  <c:v>24.949718436356779</c:v>
                </c:pt>
                <c:pt idx="69">
                  <c:v>25.305511399989967</c:v>
                </c:pt>
                <c:pt idx="70">
                  <c:v>25.671598664393585</c:v>
                </c:pt>
                <c:pt idx="71">
                  <c:v>26.048433561495536</c:v>
                </c:pt>
                <c:pt idx="72">
                  <c:v>26.436496437714442</c:v>
                </c:pt>
                <c:pt idx="73">
                  <c:v>26.83629669666615</c:v>
                </c:pt>
                <c:pt idx="74">
                  <c:v>27.248375030067887</c:v>
                </c:pt>
                <c:pt idx="75">
                  <c:v>27.673305857384474</c:v>
                </c:pt>
                <c:pt idx="76">
                  <c:v>28.111699997364333</c:v>
                </c:pt>
                <c:pt idx="77">
                  <c:v>28.564207597594262</c:v>
                </c:pt>
                <c:pt idx="78">
                  <c:v>29.031521351621148</c:v>
                </c:pt>
                <c:pt idx="79">
                  <c:v>29.514380037121132</c:v>
                </c:pt>
                <c:pt idx="80">
                  <c:v>30.013572413126315</c:v>
                </c:pt>
                <c:pt idx="81">
                  <c:v>30.52994151955091</c:v>
                </c:pt>
                <c:pt idx="82">
                  <c:v>31.064389428314634</c:v>
                </c:pt>
                <c:pt idx="83">
                  <c:v>31.617882502388078</c:v>
                </c:pt>
                <c:pt idx="84">
                  <c:v>32.191457227258695</c:v>
                </c:pt>
                <c:pt idx="85">
                  <c:v>32.786226688850014</c:v>
                </c:pt>
                <c:pt idx="86">
                  <c:v>33.403387783074791</c:v>
                </c:pt>
                <c:pt idx="87">
                  <c:v>34.044229255276633</c:v>
                </c:pt>
                <c:pt idx="88">
                  <c:v>34.710140683189309</c:v>
                </c:pt>
                <c:pt idx="89">
                  <c:v>35.402622535178971</c:v>
                </c:pt>
                <c:pt idx="90">
                  <c:v>36.123297456992418</c:v>
                </c:pt>
                <c:pt idx="91">
                  <c:v>36.873922965706043</c:v>
                </c:pt>
                <c:pt idx="92">
                  <c:v>37.656405759905802</c:v>
                </c:pt>
                <c:pt idx="93">
                  <c:v>38.472817891383819</c:v>
                </c:pt>
                <c:pt idx="94">
                  <c:v>39.325415087123631</c:v>
                </c:pt>
                <c:pt idx="95">
                  <c:v>40.216657562701883</c:v>
                </c:pt>
                <c:pt idx="96">
                  <c:v>41.149233731517292</c:v>
                </c:pt>
                <c:pt idx="97">
                  <c:v>42.12608729106114</c:v>
                </c:pt>
                <c:pt idx="98">
                  <c:v>43.150448261055089</c:v>
                </c:pt>
                <c:pt idx="99">
                  <c:v>44.225868662891372</c:v>
                </c:pt>
                <c:pt idx="100">
                  <c:v>45.356263670784045</c:v>
                </c:pt>
                <c:pt idx="101">
                  <c:v>46.545959239292308</c:v>
                </c:pt>
                <c:pt idx="102">
                  <c:v>47.799747428375099</c:v>
                </c:pt>
                <c:pt idx="103">
                  <c:v>49.122950917569703</c:v>
                </c:pt>
                <c:pt idx="104">
                  <c:v>50.521498540618516</c:v>
                </c:pt>
                <c:pt idx="105">
                  <c:v>52.002014101196693</c:v>
                </c:pt>
                <c:pt idx="106">
                  <c:v>53.571921276376294</c:v>
                </c:pt>
                <c:pt idx="107">
                  <c:v>55.239568113406499</c:v>
                </c:pt>
                <c:pt idx="108">
                  <c:v>57.014375526443061</c:v>
                </c:pt>
                <c:pt idx="109">
                  <c:v>58.907015370116419</c:v>
                </c:pt>
                <c:pt idx="110">
                  <c:v>60.929625198714618</c:v>
                </c:pt>
                <c:pt idx="111">
                  <c:v>63.09606884186347</c:v>
                </c:pt>
                <c:pt idx="112">
                  <c:v>65.422254620638583</c:v>
                </c:pt>
                <c:pt idx="113">
                  <c:v>67.926526648872468</c:v>
                </c:pt>
                <c:pt idx="114">
                  <c:v>70.630149582300476</c:v>
                </c:pt>
                <c:pt idx="115">
                  <c:v>73.557913930776579</c:v>
                </c:pt>
                <c:pt idx="116">
                  <c:v>76.738898429491059</c:v>
                </c:pt>
                <c:pt idx="117">
                  <c:v>80.207439161838451</c:v>
                </c:pt>
                <c:pt idx="118">
                  <c:v>84.004373945752349</c:v>
                </c:pt>
                <c:pt idx="119">
                  <c:v>88.178657730845416</c:v>
                </c:pt>
                <c:pt idx="120">
                  <c:v>92.7894848064049</c:v>
                </c:pt>
                <c:pt idx="121">
                  <c:v>97.909113562085039</c:v>
                </c:pt>
                <c:pt idx="122">
                  <c:v>103.62668098851675</c:v>
                </c:pt>
                <c:pt idx="123">
                  <c:v>110.05343659208795</c:v>
                </c:pt>
                <c:pt idx="124">
                  <c:v>110.05343659208785</c:v>
                </c:pt>
                <c:pt idx="125">
                  <c:v>110.05343659208785</c:v>
                </c:pt>
                <c:pt idx="126">
                  <c:v>110.05343659208785</c:v>
                </c:pt>
                <c:pt idx="127">
                  <c:v>110.05343659208785</c:v>
                </c:pt>
                <c:pt idx="128">
                  <c:v>110.05343659208785</c:v>
                </c:pt>
                <c:pt idx="129">
                  <c:v>110.05343659208785</c:v>
                </c:pt>
                <c:pt idx="130">
                  <c:v>109.08053282692747</c:v>
                </c:pt>
                <c:pt idx="131">
                  <c:v>107.64787122637591</c:v>
                </c:pt>
                <c:pt idx="132">
                  <c:v>106.25235486033374</c:v>
                </c:pt>
                <c:pt idx="133">
                  <c:v>104.89255759603427</c:v>
                </c:pt>
                <c:pt idx="134">
                  <c:v>103.56712538370132</c:v>
                </c:pt>
                <c:pt idx="135">
                  <c:v>101.01427367891068</c:v>
                </c:pt>
                <c:pt idx="136">
                  <c:v>98.58424619639095</c:v>
                </c:pt>
                <c:pt idx="137">
                  <c:v>96.268387082732602</c:v>
                </c:pt>
                <c:pt idx="138">
                  <c:v>94.05883516108031</c:v>
                </c:pt>
                <c:pt idx="139">
                  <c:v>91.948434780246942</c:v>
                </c:pt>
                <c:pt idx="140">
                  <c:v>89.930658402138022</c:v>
                </c:pt>
                <c:pt idx="141">
                  <c:v>87.999539163055232</c:v>
                </c:pt>
                <c:pt idx="142">
                  <c:v>86.149611941181632</c:v>
                </c:pt>
                <c:pt idx="143">
                  <c:v>84.375861704301272</c:v>
                </c:pt>
                <c:pt idx="144">
                  <c:v>83.008598242716332</c:v>
                </c:pt>
                <c:pt idx="145">
                  <c:v>83.008598242716332</c:v>
                </c:pt>
              </c:numCache>
            </c:numRef>
          </c:yVal>
          <c:smooth val="1"/>
        </c:ser>
        <c:dLbls>
          <c:showLegendKey val="0"/>
          <c:showVal val="0"/>
          <c:showCatName val="0"/>
          <c:showSerName val="0"/>
          <c:showPercent val="0"/>
          <c:showBubbleSize val="0"/>
        </c:dLbls>
        <c:axId val="193897984"/>
        <c:axId val="193957888"/>
      </c:scatterChart>
      <c:valAx>
        <c:axId val="193897984"/>
        <c:scaling>
          <c:orientation val="minMax"/>
          <c:max val="80"/>
          <c:min val="0"/>
        </c:scaling>
        <c:delete val="0"/>
        <c:axPos val="b"/>
        <c:majorGridlines/>
        <c:minorGridlines/>
        <c:title>
          <c:tx>
            <c:rich>
              <a:bodyPr/>
              <a:lstStyle/>
              <a:p>
                <a:pPr>
                  <a:defRPr sz="1600"/>
                </a:pPr>
                <a:r>
                  <a:rPr lang="en-US" altLang="zh-TW" sz="1600"/>
                  <a:t>Output</a:t>
                </a:r>
                <a:r>
                  <a:rPr lang="en-US" altLang="zh-TW" sz="1600" baseline="0"/>
                  <a:t> Power</a:t>
                </a:r>
                <a:r>
                  <a:rPr lang="en-US" altLang="zh-TW" sz="1600"/>
                  <a:t> (W)</a:t>
                </a:r>
                <a:endParaRPr lang="zh-TW" altLang="en-US" sz="1600"/>
              </a:p>
            </c:rich>
          </c:tx>
          <c:layout>
            <c:manualLayout>
              <c:xMode val="edge"/>
              <c:yMode val="edge"/>
              <c:x val="0.40986321760487143"/>
              <c:y val="0.92453191323246353"/>
            </c:manualLayout>
          </c:layout>
          <c:overlay val="0"/>
        </c:title>
        <c:numFmt formatCode="General" sourceLinked="0"/>
        <c:majorTickMark val="none"/>
        <c:minorTickMark val="in"/>
        <c:tickLblPos val="nextTo"/>
        <c:txPr>
          <a:bodyPr/>
          <a:lstStyle/>
          <a:p>
            <a:pPr>
              <a:defRPr sz="1200"/>
            </a:pPr>
            <a:endParaRPr lang="en-US"/>
          </a:p>
        </c:txPr>
        <c:crossAx val="193957888"/>
        <c:crosses val="autoZero"/>
        <c:crossBetween val="midCat"/>
        <c:majorUnit val="5"/>
        <c:minorUnit val="5"/>
      </c:valAx>
      <c:valAx>
        <c:axId val="193957888"/>
        <c:scaling>
          <c:orientation val="minMax"/>
        </c:scaling>
        <c:delete val="0"/>
        <c:axPos val="l"/>
        <c:majorGridlines/>
        <c:title>
          <c:tx>
            <c:rich>
              <a:bodyPr/>
              <a:lstStyle/>
              <a:p>
                <a:pPr>
                  <a:defRPr sz="1600"/>
                </a:pPr>
                <a:r>
                  <a:rPr lang="en-US" altLang="zh-TW" sz="1600"/>
                  <a:t>FSW (KHz)</a:t>
                </a:r>
                <a:endParaRPr lang="zh-TW" altLang="en-US" sz="1600"/>
              </a:p>
            </c:rich>
          </c:tx>
          <c:layout>
            <c:manualLayout>
              <c:xMode val="edge"/>
              <c:yMode val="edge"/>
              <c:x val="1.3263270709367619E-2"/>
              <c:y val="0.42225663411068759"/>
            </c:manualLayout>
          </c:layout>
          <c:overlay val="0"/>
        </c:title>
        <c:numFmt formatCode="#,##0_);\(#,##0\)" sourceLinked="0"/>
        <c:majorTickMark val="none"/>
        <c:minorTickMark val="none"/>
        <c:tickLblPos val="nextTo"/>
        <c:txPr>
          <a:bodyPr/>
          <a:lstStyle/>
          <a:p>
            <a:pPr>
              <a:defRPr sz="1200"/>
            </a:pPr>
            <a:endParaRPr lang="en-US"/>
          </a:p>
        </c:txPr>
        <c:crossAx val="193897984"/>
        <c:crosses val="autoZero"/>
        <c:crossBetween val="midCat"/>
        <c:majorUnit val="10"/>
      </c:valAx>
    </c:plotArea>
    <c:legend>
      <c:legendPos val="r"/>
      <c:layout>
        <c:manualLayout>
          <c:xMode val="edge"/>
          <c:yMode val="edge"/>
          <c:x val="0.14512730574830385"/>
          <c:y val="9.7735415884082175E-2"/>
          <c:w val="0.23519444995813785"/>
          <c:h val="0.20335508640019018"/>
        </c:manualLayout>
      </c:layout>
      <c:overlay val="1"/>
      <c:spPr>
        <a:solidFill>
          <a:schemeClr val="bg1">
            <a:alpha val="80000"/>
          </a:schemeClr>
        </a:solidFill>
        <a:ln>
          <a:noFill/>
        </a:ln>
      </c:spPr>
      <c:txPr>
        <a:bodyPr/>
        <a:lstStyle/>
        <a:p>
          <a:pPr>
            <a:defRPr sz="1000"/>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800" b="1"/>
            </a:pPr>
            <a:r>
              <a:rPr lang="en-US" sz="1800"/>
              <a:t>Frequency Curve at</a:t>
            </a:r>
            <a:r>
              <a:rPr lang="en-US" sz="1800" baseline="0"/>
              <a:t> Low Line Input </a:t>
            </a:r>
            <a:r>
              <a:rPr lang="en-US" sz="1800"/>
              <a:t>(i-ACF)</a:t>
            </a:r>
          </a:p>
        </c:rich>
      </c:tx>
      <c:layout>
        <c:manualLayout>
          <c:xMode val="edge"/>
          <c:yMode val="edge"/>
          <c:x val="0.18213815880145359"/>
          <c:y val="1.0557998883189522E-2"/>
        </c:manualLayout>
      </c:layout>
      <c:overlay val="0"/>
    </c:title>
    <c:autoTitleDeleted val="0"/>
    <c:plotArea>
      <c:layout>
        <c:manualLayout>
          <c:layoutTarget val="inner"/>
          <c:xMode val="edge"/>
          <c:yMode val="edge"/>
          <c:x val="0.13034994274335077"/>
          <c:y val="8.4779432384545772E-2"/>
          <c:w val="0.82712210361229599"/>
          <c:h val="0.77794459280315087"/>
        </c:manualLayout>
      </c:layout>
      <c:scatterChart>
        <c:scatterStyle val="smoothMarker"/>
        <c:varyColors val="0"/>
        <c:ser>
          <c:idx val="2"/>
          <c:order val="0"/>
          <c:tx>
            <c:v>Upper Bound</c:v>
          </c:tx>
          <c:spPr>
            <a:ln>
              <a:solidFill>
                <a:srgbClr val="000000"/>
              </a:solidFill>
              <a:prstDash val="lgDash"/>
            </a:ln>
          </c:spPr>
          <c:marker>
            <c:symbol val="none"/>
          </c:marker>
          <c:xVal>
            <c:numRef>
              <c:f>Ver130kHz!$F$214:$F$359</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4.6659984042518658</c:v>
                </c:pt>
                <c:pt idx="57">
                  <c:v>4.7946270126310253</c:v>
                </c:pt>
                <c:pt idx="58">
                  <c:v>4.9270512263163555</c:v>
                </c:pt>
                <c:pt idx="59">
                  <c:v>5.0634178536063903</c:v>
                </c:pt>
                <c:pt idx="60">
                  <c:v>5.2038813727861086</c:v>
                </c:pt>
                <c:pt idx="61">
                  <c:v>5.3486044396530383</c:v>
                </c:pt>
                <c:pt idx="62">
                  <c:v>5.4977584358837088</c:v>
                </c:pt>
                <c:pt idx="63">
                  <c:v>5.6515240621266782</c:v>
                </c:pt>
                <c:pt idx="64">
                  <c:v>5.8100919801368613</c:v>
                </c:pt>
                <c:pt idx="65">
                  <c:v>5.9736635087482002</c:v>
                </c:pt>
                <c:pt idx="66">
                  <c:v>6.1424513790256245</c:v>
                </c:pt>
                <c:pt idx="67">
                  <c:v>6.3166805545513975</c:v>
                </c:pt>
                <c:pt idx="68">
                  <c:v>6.4965891234959194</c:v>
                </c:pt>
                <c:pt idx="69">
                  <c:v>6.6824292699103633</c:v>
                </c:pt>
                <c:pt idx="70">
                  <c:v>6.8744683325724552</c:v>
                </c:pt>
                <c:pt idx="71">
                  <c:v>7.0729899607333753</c:v>
                </c:pt>
                <c:pt idx="72">
                  <c:v>7.278295377271907</c:v>
                </c:pt>
                <c:pt idx="73">
                  <c:v>7.4907047610844222</c:v>
                </c:pt>
                <c:pt idx="74">
                  <c:v>7.7105587620517904</c:v>
                </c:pt>
                <c:pt idx="75">
                  <c:v>7.9382201636578982</c:v>
                </c:pt>
                <c:pt idx="76">
                  <c:v>8.1740757103258552</c:v>
                </c:pt>
                <c:pt idx="77">
                  <c:v>8.4185381188301402</c:v>
                </c:pt>
                <c:pt idx="78">
                  <c:v>8.6720482957872136</c:v>
                </c:pt>
                <c:pt idx="79">
                  <c:v>8.935077786285424</c:v>
                </c:pt>
                <c:pt idx="80">
                  <c:v>9.2081314822590965</c:v>
                </c:pt>
                <c:pt idx="81">
                  <c:v>9.4917506233305389</c:v>
                </c:pt>
                <c:pt idx="82">
                  <c:v>9.7865161276417272</c:v>
                </c:pt>
                <c:pt idx="83">
                  <c:v>10.093052295801424</c:v>
                </c:pt>
                <c:pt idx="84">
                  <c:v>10.412030937637311</c:v>
                </c:pt>
                <c:pt idx="85">
                  <c:v>10.744175979152253</c:v>
                </c:pt>
                <c:pt idx="86">
                  <c:v>11.090268616165266</c:v>
                </c:pt>
                <c:pt idx="87">
                  <c:v>11.451153091848713</c:v>
                </c:pt>
                <c:pt idx="88">
                  <c:v>11.827743188092837</c:v>
                </c:pt>
                <c:pt idx="89">
                  <c:v>12.221029535754868</c:v>
                </c:pt>
                <c:pt idx="90">
                  <c:v>12.632087866900424</c:v>
                </c:pt>
                <c:pt idx="91">
                  <c:v>13.062088353760236</c:v>
                </c:pt>
                <c:pt idx="92">
                  <c:v>13.512306205106551</c:v>
                </c:pt>
                <c:pt idx="93">
                  <c:v>13.984133722102321</c:v>
                </c:pt>
                <c:pt idx="94">
                  <c:v>14.479094053654226</c:v>
                </c:pt>
                <c:pt idx="95">
                  <c:v>14.998856937501628</c:v>
                </c:pt>
                <c:pt idx="96">
                  <c:v>15.545256769726608</c:v>
                </c:pt>
                <c:pt idx="97">
                  <c:v>16.120313414664913</c:v>
                </c:pt>
                <c:pt idx="98">
                  <c:v>16.726256252665241</c:v>
                </c:pt>
                <c:pt idx="99">
                  <c:v>17.365552069089734</c:v>
                </c:pt>
                <c:pt idx="100">
                  <c:v>18.040937519973536</c:v>
                </c:pt>
                <c:pt idx="101">
                  <c:v>18.755457075197171</c:v>
                </c:pt>
                <c:pt idx="102">
                  <c:v>19.512507548542541</c:v>
                </c:pt>
                <c:pt idx="103">
                  <c:v>20.315890588433557</c:v>
                </c:pt>
                <c:pt idx="104">
                  <c:v>21.169874840680745</c:v>
                </c:pt>
                <c:pt idx="105">
                  <c:v>22.079269928308882</c:v>
                </c:pt>
                <c:pt idx="106">
                  <c:v>23.049514955040749</c:v>
                </c:pt>
                <c:pt idx="107">
                  <c:v>24.086784971444292</c:v>
                </c:pt>
                <c:pt idx="108">
                  <c:v>25.198119805974194</c:v>
                </c:pt>
                <c:pt idx="109">
                  <c:v>26.391580940885202</c:v>
                </c:pt>
                <c:pt idx="110">
                  <c:v>27.676443823670464</c:v>
                </c:pt>
                <c:pt idx="111">
                  <c:v>29.063435317648199</c:v>
                </c:pt>
                <c:pt idx="112">
                  <c:v>30.565029155788942</c:v>
                </c:pt>
                <c:pt idx="113">
                  <c:v>32.195816629529105</c:v>
                </c:pt>
                <c:pt idx="114">
                  <c:v>33.972975854192697</c:v>
                </c:pt>
                <c:pt idx="115">
                  <c:v>35.916871612730354</c:v>
                </c:pt>
                <c:pt idx="116">
                  <c:v>38.051830230008299</c:v>
                </c:pt>
                <c:pt idx="117">
                  <c:v>40.407152108448763</c:v>
                </c:pt>
                <c:pt idx="118">
                  <c:v>43.018451548244869</c:v>
                </c:pt>
                <c:pt idx="119">
                  <c:v>45.929454300236202</c:v>
                </c:pt>
                <c:pt idx="120">
                  <c:v>49.194446308481503</c:v>
                </c:pt>
                <c:pt idx="121">
                  <c:v>52.881666547486333</c:v>
                </c:pt>
                <c:pt idx="122">
                  <c:v>57.078097768401499</c:v>
                </c:pt>
                <c:pt idx="123">
                  <c:v>61.896376656593809</c:v>
                </c:pt>
                <c:pt idx="124">
                  <c:v>63.124930938112406</c:v>
                </c:pt>
                <c:pt idx="125">
                  <c:v>64.365558218154291</c:v>
                </c:pt>
                <c:pt idx="126">
                  <c:v>65.618258496719321</c:v>
                </c:pt>
                <c:pt idx="127">
                  <c:v>66.88303177380763</c:v>
                </c:pt>
                <c:pt idx="128">
                  <c:v>68.15987804941912</c:v>
                </c:pt>
                <c:pt idx="129">
                  <c:v>71.404813106986893</c:v>
                </c:pt>
                <c:pt idx="130">
                  <c:v>74.725204405324774</c:v>
                </c:pt>
                <c:pt idx="131">
                  <c:v>78.12105194443275</c:v>
                </c:pt>
                <c:pt idx="132">
                  <c:v>81.592355724310778</c:v>
                </c:pt>
                <c:pt idx="133">
                  <c:v>85.139115744958943</c:v>
                </c:pt>
                <c:pt idx="134">
                  <c:v>88.76133200637716</c:v>
                </c:pt>
                <c:pt idx="135">
                  <c:v>96.232133251523848</c:v>
                </c:pt>
                <c:pt idx="136">
                  <c:v>104.0047594597509</c:v>
                </c:pt>
                <c:pt idx="137">
                  <c:v>112.07921063105823</c:v>
                </c:pt>
                <c:pt idx="138">
                  <c:v>120.45548676544593</c:v>
                </c:pt>
                <c:pt idx="139">
                  <c:v>129.13358786291403</c:v>
                </c:pt>
                <c:pt idx="140">
                  <c:v>138.11351392346242</c:v>
                </c:pt>
                <c:pt idx="141">
                  <c:v>147.39526494709114</c:v>
                </c:pt>
                <c:pt idx="142">
                  <c:v>156.97884093380017</c:v>
                </c:pt>
                <c:pt idx="143">
                  <c:v>166.86424188358961</c:v>
                </c:pt>
                <c:pt idx="144">
                  <c:v>174.98987661683901</c:v>
                </c:pt>
                <c:pt idx="145">
                  <c:v>174.98987661683901</c:v>
                </c:pt>
              </c:numCache>
            </c:numRef>
          </c:xVal>
          <c:yVal>
            <c:numRef>
              <c:f>Ver130kHz!$E$214:$E$359</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22.026757883358133</c:v>
                </c:pt>
                <c:pt idx="57">
                  <c:v>22.303606436933268</c:v>
                </c:pt>
                <c:pt idx="58">
                  <c:v>22.58750284716422</c:v>
                </c:pt>
                <c:pt idx="59">
                  <c:v>22.878719714535098</c:v>
                </c:pt>
                <c:pt idx="60">
                  <c:v>23.177543881517952</c:v>
                </c:pt>
                <c:pt idx="61">
                  <c:v>23.48427737497089</c:v>
                </c:pt>
                <c:pt idx="62">
                  <c:v>23.799238424370419</c:v>
                </c:pt>
                <c:pt idx="63">
                  <c:v>24.122762563094199</c:v>
                </c:pt>
                <c:pt idx="64">
                  <c:v>24.455203820765959</c:v>
                </c:pt>
                <c:pt idx="65">
                  <c:v>24.796936015569976</c:v>
                </c:pt>
                <c:pt idx="66">
                  <c:v>25.148354156452349</c:v>
                </c:pt>
                <c:pt idx="67">
                  <c:v>25.509875966266939</c:v>
                </c:pt>
                <c:pt idx="68">
                  <c:v>25.881943538213928</c:v>
                </c:pt>
                <c:pt idx="69">
                  <c:v>26.265025139381205</c:v>
                </c:pt>
                <c:pt idx="70">
                  <c:v>26.659617176858553</c:v>
                </c:pt>
                <c:pt idx="71">
                  <c:v>27.066246343782272</c:v>
                </c:pt>
                <c:pt idx="72">
                  <c:v>27.485471964818597</c:v>
                </c:pt>
                <c:pt idx="73">
                  <c:v>27.917888563049853</c:v>
                </c:pt>
                <c:pt idx="74">
                  <c:v>28.364128673035488</c:v>
                </c:pt>
                <c:pt idx="75">
                  <c:v>28.824865928039575</c:v>
                </c:pt>
                <c:pt idx="76">
                  <c:v>29.300818453113759</c:v>
                </c:pt>
                <c:pt idx="77">
                  <c:v>29.792752599980972</c:v>
                </c:pt>
                <c:pt idx="78">
                  <c:v>30.301487064575266</c:v>
                </c:pt>
                <c:pt idx="79">
                  <c:v>30.82789743377182</c:v>
                </c:pt>
                <c:pt idx="80">
                  <c:v>31.372921214422043</c:v>
                </c:pt>
                <c:pt idx="81">
                  <c:v>31.937563405456757</c:v>
                </c:pt>
                <c:pt idx="82">
                  <c:v>32.522902682729509</c:v>
                </c:pt>
                <c:pt idx="83">
                  <c:v>33.130098276678069</c:v>
                </c:pt>
                <c:pt idx="84">
                  <c:v>33.76039763506995</c:v>
                </c:pt>
                <c:pt idx="85">
                  <c:v>34.415144977413249</c:v>
                </c:pt>
                <c:pt idx="86">
                  <c:v>35.095790864477152</c:v>
                </c:pt>
                <c:pt idx="87">
                  <c:v>35.803902926292089</c:v>
                </c:pt>
                <c:pt idx="88">
                  <c:v>36.54117791561751</c:v>
                </c:pt>
                <c:pt idx="89">
                  <c:v>37.309455281952879</c:v>
                </c:pt>
                <c:pt idx="90">
                  <c:v>38.11073249468371</c:v>
                </c:pt>
                <c:pt idx="91">
                  <c:v>38.947182384091214</c:v>
                </c:pt>
                <c:pt idx="92">
                  <c:v>39.821172817197386</c:v>
                </c:pt>
                <c:pt idx="93">
                  <c:v>40.735289083627144</c:v>
                </c:pt>
                <c:pt idx="94">
                  <c:v>41.692359437188173</c:v>
                </c:pt>
                <c:pt idx="95">
                  <c:v>42.695484324657897</c:v>
                </c:pt>
                <c:pt idx="96">
                  <c:v>43.748069938090964</c:v>
                </c:pt>
                <c:pt idx="97">
                  <c:v>44.853866855630855</c:v>
                </c:pt>
                <c:pt idx="98">
                  <c:v>46.017014694508909</c:v>
                </c:pt>
                <c:pt idx="99">
                  <c:v>47.242093896639055</c:v>
                </c:pt>
                <c:pt idx="100">
                  <c:v>48.534186012366021</c:v>
                </c:pt>
                <c:pt idx="101">
                  <c:v>49.8989441551144</c:v>
                </c:pt>
                <c:pt idx="102">
                  <c:v>51.342675686870059</c:v>
                </c:pt>
                <c:pt idx="103">
                  <c:v>52.872439685431154</c:v>
                </c:pt>
                <c:pt idx="104">
                  <c:v>54.496162371086768</c:v>
                </c:pt>
                <c:pt idx="105">
                  <c:v>56.222774475805288</c:v>
                </c:pt>
                <c:pt idx="106">
                  <c:v>58.062375580623716</c:v>
                </c:pt>
                <c:pt idx="107">
                  <c:v>60.026431806946903</c:v>
                </c:pt>
                <c:pt idx="108">
                  <c:v>62.128015036023768</c:v>
                </c:pt>
                <c:pt idx="109">
                  <c:v>64.38209420344738</c:v>
                </c:pt>
                <c:pt idx="110">
                  <c:v>66.805892391987754</c:v>
                </c:pt>
                <c:pt idx="111">
                  <c:v>69.419327740896691</c:v>
                </c:pt>
                <c:pt idx="112">
                  <c:v>72.245562058330648</c:v>
                </c:pt>
                <c:pt idx="113">
                  <c:v>75.311689133599103</c:v>
                </c:pt>
                <c:pt idx="114">
                  <c:v>78.649606091048369</c:v>
                </c:pt>
                <c:pt idx="115">
                  <c:v>82.297127207845165</c:v>
                </c:pt>
                <c:pt idx="116">
                  <c:v>86.299422736634369</c:v>
                </c:pt>
                <c:pt idx="117">
                  <c:v>90.710899028859785</c:v>
                </c:pt>
                <c:pt idx="118">
                  <c:v>95.597686375321189</c:v>
                </c:pt>
                <c:pt idx="119">
                  <c:v>101.04097678604779</c:v>
                </c:pt>
                <c:pt idx="120">
                  <c:v>107.14157092952043</c:v>
                </c:pt>
                <c:pt idx="121">
                  <c:v>114.02617811080658</c:v>
                </c:pt>
                <c:pt idx="122">
                  <c:v>121.85631195215844</c:v>
                </c:pt>
                <c:pt idx="123">
                  <c:v>130.8411214953272</c:v>
                </c:pt>
                <c:pt idx="124">
                  <c:v>130.84112149532709</c:v>
                </c:pt>
                <c:pt idx="125">
                  <c:v>130.84112149532709</c:v>
                </c:pt>
                <c:pt idx="126">
                  <c:v>130.84112149532709</c:v>
                </c:pt>
                <c:pt idx="127">
                  <c:v>130.84112149532709</c:v>
                </c:pt>
                <c:pt idx="128">
                  <c:v>130.84112149532709</c:v>
                </c:pt>
                <c:pt idx="129">
                  <c:v>130.84112149532709</c:v>
                </c:pt>
                <c:pt idx="130">
                  <c:v>130.84112149532709</c:v>
                </c:pt>
                <c:pt idx="131">
                  <c:v>130.84112149532709</c:v>
                </c:pt>
                <c:pt idx="132">
                  <c:v>130.84112149532709</c:v>
                </c:pt>
                <c:pt idx="133">
                  <c:v>130.84112149532709</c:v>
                </c:pt>
                <c:pt idx="134">
                  <c:v>130.84112149532709</c:v>
                </c:pt>
                <c:pt idx="135">
                  <c:v>130.84112149532709</c:v>
                </c:pt>
                <c:pt idx="136">
                  <c:v>130.84112149532709</c:v>
                </c:pt>
                <c:pt idx="137">
                  <c:v>130.84112149532709</c:v>
                </c:pt>
                <c:pt idx="138">
                  <c:v>130.84112149532709</c:v>
                </c:pt>
                <c:pt idx="139">
                  <c:v>130.84112149532709</c:v>
                </c:pt>
                <c:pt idx="140">
                  <c:v>130.84112149532709</c:v>
                </c:pt>
                <c:pt idx="141">
                  <c:v>130.84112149532709</c:v>
                </c:pt>
                <c:pt idx="142">
                  <c:v>130.84112149532709</c:v>
                </c:pt>
                <c:pt idx="143">
                  <c:v>130.84112149532709</c:v>
                </c:pt>
                <c:pt idx="144">
                  <c:v>130.84112149532709</c:v>
                </c:pt>
                <c:pt idx="145">
                  <c:v>130.84112149532709</c:v>
                </c:pt>
              </c:numCache>
            </c:numRef>
          </c:yVal>
          <c:smooth val="0"/>
        </c:ser>
        <c:ser>
          <c:idx val="6"/>
          <c:order val="1"/>
          <c:tx>
            <c:strRef>
              <c:f>Ver130kHz!$G$212</c:f>
              <c:strCache>
                <c:ptCount val="1"/>
                <c:pt idx="0">
                  <c:v>VBULK_Min, 65VDC</c:v>
                </c:pt>
              </c:strCache>
            </c:strRef>
          </c:tx>
          <c:spPr>
            <a:ln>
              <a:solidFill>
                <a:srgbClr val="3333FF"/>
              </a:solidFill>
              <a:prstDash val="solid"/>
            </a:ln>
          </c:spPr>
          <c:marker>
            <c:symbol val="none"/>
          </c:marker>
          <c:xVal>
            <c:numRef>
              <c:f>Ver130kHz!$J$214:$J$359</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4.6659984042518658</c:v>
                </c:pt>
                <c:pt idx="57">
                  <c:v>4.7946270126310253</c:v>
                </c:pt>
                <c:pt idx="58">
                  <c:v>4.9270512263163555</c:v>
                </c:pt>
                <c:pt idx="59">
                  <c:v>5.0634178536063903</c:v>
                </c:pt>
                <c:pt idx="60">
                  <c:v>5.2038813727861086</c:v>
                </c:pt>
                <c:pt idx="61">
                  <c:v>5.3486044396530383</c:v>
                </c:pt>
                <c:pt idx="62">
                  <c:v>5.4977584358837088</c:v>
                </c:pt>
                <c:pt idx="63">
                  <c:v>5.6515240621266782</c:v>
                </c:pt>
                <c:pt idx="64">
                  <c:v>5.8100919801368613</c:v>
                </c:pt>
                <c:pt idx="65">
                  <c:v>5.9736635087482002</c:v>
                </c:pt>
                <c:pt idx="66">
                  <c:v>6.1424513790256245</c:v>
                </c:pt>
                <c:pt idx="67">
                  <c:v>6.3166805545513975</c:v>
                </c:pt>
                <c:pt idx="68">
                  <c:v>6.4965891234959194</c:v>
                </c:pt>
                <c:pt idx="69">
                  <c:v>6.6824292699103633</c:v>
                </c:pt>
                <c:pt idx="70">
                  <c:v>6.8744683325724552</c:v>
                </c:pt>
                <c:pt idx="71">
                  <c:v>7.0729899607333753</c:v>
                </c:pt>
                <c:pt idx="72">
                  <c:v>7.278295377271907</c:v>
                </c:pt>
                <c:pt idx="73">
                  <c:v>7.4907047610844222</c:v>
                </c:pt>
                <c:pt idx="74">
                  <c:v>7.7105587620517904</c:v>
                </c:pt>
                <c:pt idx="75">
                  <c:v>7.9382201636578982</c:v>
                </c:pt>
                <c:pt idx="76">
                  <c:v>8.1740757103258552</c:v>
                </c:pt>
                <c:pt idx="77">
                  <c:v>8.4185381188301402</c:v>
                </c:pt>
                <c:pt idx="78">
                  <c:v>8.6720482957872136</c:v>
                </c:pt>
                <c:pt idx="79">
                  <c:v>8.935077786285424</c:v>
                </c:pt>
                <c:pt idx="80">
                  <c:v>9.2081314822590965</c:v>
                </c:pt>
                <c:pt idx="81">
                  <c:v>9.4917506233305389</c:v>
                </c:pt>
                <c:pt idx="82">
                  <c:v>9.7865161276417272</c:v>
                </c:pt>
                <c:pt idx="83">
                  <c:v>10.093052295801424</c:v>
                </c:pt>
                <c:pt idx="84">
                  <c:v>10.412030937637311</c:v>
                </c:pt>
                <c:pt idx="85">
                  <c:v>10.744175979152253</c:v>
                </c:pt>
                <c:pt idx="86">
                  <c:v>11.090268616165266</c:v>
                </c:pt>
                <c:pt idx="87">
                  <c:v>11.451153091848713</c:v>
                </c:pt>
                <c:pt idx="88">
                  <c:v>11.827743188092837</c:v>
                </c:pt>
                <c:pt idx="89">
                  <c:v>12.221029535754868</c:v>
                </c:pt>
                <c:pt idx="90">
                  <c:v>12.632087866900424</c:v>
                </c:pt>
                <c:pt idx="91">
                  <c:v>13.062088353760236</c:v>
                </c:pt>
                <c:pt idx="92">
                  <c:v>13.512306205106551</c:v>
                </c:pt>
                <c:pt idx="93">
                  <c:v>13.984133722102321</c:v>
                </c:pt>
                <c:pt idx="94">
                  <c:v>14.479094053654226</c:v>
                </c:pt>
                <c:pt idx="95">
                  <c:v>14.998856937501628</c:v>
                </c:pt>
                <c:pt idx="96">
                  <c:v>15.545256769726608</c:v>
                </c:pt>
                <c:pt idx="97">
                  <c:v>16.120313414664913</c:v>
                </c:pt>
                <c:pt idx="98">
                  <c:v>16.726256252665241</c:v>
                </c:pt>
                <c:pt idx="99">
                  <c:v>17.365552069089734</c:v>
                </c:pt>
                <c:pt idx="100">
                  <c:v>18.040937519973536</c:v>
                </c:pt>
                <c:pt idx="101">
                  <c:v>18.755457075197171</c:v>
                </c:pt>
                <c:pt idx="102">
                  <c:v>19.512507548542541</c:v>
                </c:pt>
                <c:pt idx="103">
                  <c:v>20.315890588433557</c:v>
                </c:pt>
                <c:pt idx="104">
                  <c:v>21.169874840680745</c:v>
                </c:pt>
                <c:pt idx="105">
                  <c:v>22.079269928308882</c:v>
                </c:pt>
                <c:pt idx="106">
                  <c:v>23.049514955040749</c:v>
                </c:pt>
                <c:pt idx="107">
                  <c:v>24.086784971444292</c:v>
                </c:pt>
                <c:pt idx="108">
                  <c:v>25.198119805974194</c:v>
                </c:pt>
                <c:pt idx="109">
                  <c:v>26.391580940885202</c:v>
                </c:pt>
                <c:pt idx="110">
                  <c:v>27.676443823670464</c:v>
                </c:pt>
                <c:pt idx="111">
                  <c:v>29.063435317648199</c:v>
                </c:pt>
                <c:pt idx="112">
                  <c:v>30.565029155788942</c:v>
                </c:pt>
                <c:pt idx="113">
                  <c:v>32.195816629529105</c:v>
                </c:pt>
                <c:pt idx="114">
                  <c:v>33.972975854192697</c:v>
                </c:pt>
                <c:pt idx="115">
                  <c:v>35.916871612730354</c:v>
                </c:pt>
                <c:pt idx="116">
                  <c:v>38.051830230008299</c:v>
                </c:pt>
                <c:pt idx="117">
                  <c:v>39.876185697163827</c:v>
                </c:pt>
                <c:pt idx="118">
                  <c:v>40.088180495559314</c:v>
                </c:pt>
                <c:pt idx="119">
                  <c:v>40.300179371398052</c:v>
                </c:pt>
                <c:pt idx="120">
                  <c:v>40.512182266076294</c:v>
                </c:pt>
                <c:pt idx="121">
                  <c:v>40.724189122107916</c:v>
                </c:pt>
                <c:pt idx="122">
                  <c:v>40.93619988309802</c:v>
                </c:pt>
                <c:pt idx="123">
                  <c:v>41.148214493717127</c:v>
                </c:pt>
                <c:pt idx="124">
                  <c:v>41.572255047701908</c:v>
                </c:pt>
                <c:pt idx="125">
                  <c:v>41.996310361800425</c:v>
                </c:pt>
                <c:pt idx="126">
                  <c:v>42.420380029265964</c:v>
                </c:pt>
                <c:pt idx="127">
                  <c:v>42.844463658160869</c:v>
                </c:pt>
                <c:pt idx="128">
                  <c:v>43.268560870688532</c:v>
                </c:pt>
                <c:pt idx="129">
                  <c:v>44.32886097139636</c:v>
                </c:pt>
                <c:pt idx="130">
                  <c:v>45.389238377926574</c:v>
                </c:pt>
                <c:pt idx="131">
                  <c:v>46.449688191911136</c:v>
                </c:pt>
                <c:pt idx="132">
                  <c:v>47.510205920259082</c:v>
                </c:pt>
                <c:pt idx="133">
                  <c:v>48.570787434091656</c:v>
                </c:pt>
                <c:pt idx="134">
                  <c:v>49.631428932571204</c:v>
                </c:pt>
                <c:pt idx="135">
                  <c:v>51.752878132322451</c:v>
                </c:pt>
                <c:pt idx="136">
                  <c:v>53.874528547517926</c:v>
                </c:pt>
                <c:pt idx="137">
                  <c:v>55.996358751692888</c:v>
                </c:pt>
                <c:pt idx="138">
                  <c:v>58.118350256238088</c:v>
                </c:pt>
                <c:pt idx="139">
                  <c:v>60.240487023563617</c:v>
                </c:pt>
                <c:pt idx="140">
                  <c:v>62.362755073966056</c:v>
                </c:pt>
                <c:pt idx="141">
                  <c:v>64.485142165812277</c:v>
                </c:pt>
                <c:pt idx="142">
                  <c:v>66.607637533568081</c:v>
                </c:pt>
                <c:pt idx="143">
                  <c:v>68.730231671823546</c:v>
                </c:pt>
                <c:pt idx="144">
                  <c:v>70.428372403603589</c:v>
                </c:pt>
                <c:pt idx="145">
                  <c:v>70.428372403603589</c:v>
                </c:pt>
              </c:numCache>
            </c:numRef>
          </c:xVal>
          <c:yVal>
            <c:numRef>
              <c:f>Ver130kHz!$I$214:$I$359</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22.026757883358133</c:v>
                </c:pt>
                <c:pt idx="57">
                  <c:v>22.303606436933268</c:v>
                </c:pt>
                <c:pt idx="58">
                  <c:v>22.58750284716422</c:v>
                </c:pt>
                <c:pt idx="59">
                  <c:v>22.878719714535098</c:v>
                </c:pt>
                <c:pt idx="60">
                  <c:v>23.177543881517952</c:v>
                </c:pt>
                <c:pt idx="61">
                  <c:v>23.48427737497089</c:v>
                </c:pt>
                <c:pt idx="62">
                  <c:v>23.799238424370419</c:v>
                </c:pt>
                <c:pt idx="63">
                  <c:v>24.122762563094199</c:v>
                </c:pt>
                <c:pt idx="64">
                  <c:v>24.455203820765959</c:v>
                </c:pt>
                <c:pt idx="65">
                  <c:v>24.796936015569976</c:v>
                </c:pt>
                <c:pt idx="66">
                  <c:v>25.148354156452349</c:v>
                </c:pt>
                <c:pt idx="67">
                  <c:v>25.509875966266939</c:v>
                </c:pt>
                <c:pt idx="68">
                  <c:v>25.881943538213928</c:v>
                </c:pt>
                <c:pt idx="69">
                  <c:v>26.265025139381205</c:v>
                </c:pt>
                <c:pt idx="70">
                  <c:v>26.659617176858553</c:v>
                </c:pt>
                <c:pt idx="71">
                  <c:v>27.066246343782272</c:v>
                </c:pt>
                <c:pt idx="72">
                  <c:v>27.485471964818597</c:v>
                </c:pt>
                <c:pt idx="73">
                  <c:v>27.917888563049853</c:v>
                </c:pt>
                <c:pt idx="74">
                  <c:v>28.364128673035488</c:v>
                </c:pt>
                <c:pt idx="75">
                  <c:v>28.824865928039575</c:v>
                </c:pt>
                <c:pt idx="76">
                  <c:v>29.300818453113759</c:v>
                </c:pt>
                <c:pt idx="77">
                  <c:v>29.792752599980972</c:v>
                </c:pt>
                <c:pt idx="78">
                  <c:v>30.301487064575266</c:v>
                </c:pt>
                <c:pt idx="79">
                  <c:v>30.82789743377182</c:v>
                </c:pt>
                <c:pt idx="80">
                  <c:v>31.372921214422043</c:v>
                </c:pt>
                <c:pt idx="81">
                  <c:v>31.937563405456757</c:v>
                </c:pt>
                <c:pt idx="82">
                  <c:v>32.522902682729509</c:v>
                </c:pt>
                <c:pt idx="83">
                  <c:v>33.130098276678069</c:v>
                </c:pt>
                <c:pt idx="84">
                  <c:v>33.76039763506995</c:v>
                </c:pt>
                <c:pt idx="85">
                  <c:v>34.415144977413249</c:v>
                </c:pt>
                <c:pt idx="86">
                  <c:v>35.095790864477152</c:v>
                </c:pt>
                <c:pt idx="87">
                  <c:v>35.803902926292089</c:v>
                </c:pt>
                <c:pt idx="88">
                  <c:v>36.54117791561751</c:v>
                </c:pt>
                <c:pt idx="89">
                  <c:v>37.309455281952879</c:v>
                </c:pt>
                <c:pt idx="90">
                  <c:v>38.11073249468371</c:v>
                </c:pt>
                <c:pt idx="91">
                  <c:v>38.947182384091214</c:v>
                </c:pt>
                <c:pt idx="92">
                  <c:v>39.821172817197386</c:v>
                </c:pt>
                <c:pt idx="93">
                  <c:v>40.735289083627144</c:v>
                </c:pt>
                <c:pt idx="94">
                  <c:v>41.692359437188173</c:v>
                </c:pt>
                <c:pt idx="95">
                  <c:v>42.695484324657897</c:v>
                </c:pt>
                <c:pt idx="96">
                  <c:v>43.748069938090964</c:v>
                </c:pt>
                <c:pt idx="97">
                  <c:v>44.853866855630855</c:v>
                </c:pt>
                <c:pt idx="98">
                  <c:v>46.017014694508909</c:v>
                </c:pt>
                <c:pt idx="99">
                  <c:v>47.242093896639055</c:v>
                </c:pt>
                <c:pt idx="100">
                  <c:v>48.534186012366021</c:v>
                </c:pt>
                <c:pt idx="101">
                  <c:v>49.8989441551144</c:v>
                </c:pt>
                <c:pt idx="102">
                  <c:v>51.342675686870059</c:v>
                </c:pt>
                <c:pt idx="103">
                  <c:v>52.872439685431154</c:v>
                </c:pt>
                <c:pt idx="104">
                  <c:v>54.496162371086768</c:v>
                </c:pt>
                <c:pt idx="105">
                  <c:v>56.222774475805288</c:v>
                </c:pt>
                <c:pt idx="106">
                  <c:v>58.062375580623716</c:v>
                </c:pt>
                <c:pt idx="107">
                  <c:v>60.026431806946903</c:v>
                </c:pt>
                <c:pt idx="108">
                  <c:v>62.128015036023768</c:v>
                </c:pt>
                <c:pt idx="109">
                  <c:v>64.38209420344738</c:v>
                </c:pt>
                <c:pt idx="110">
                  <c:v>66.805892391987754</c:v>
                </c:pt>
                <c:pt idx="111">
                  <c:v>69.419327740896691</c:v>
                </c:pt>
                <c:pt idx="112">
                  <c:v>72.245562058330648</c:v>
                </c:pt>
                <c:pt idx="113">
                  <c:v>75.311689133599103</c:v>
                </c:pt>
                <c:pt idx="114">
                  <c:v>78.649606091048369</c:v>
                </c:pt>
                <c:pt idx="115">
                  <c:v>82.297127207845165</c:v>
                </c:pt>
                <c:pt idx="116">
                  <c:v>86.299422736634369</c:v>
                </c:pt>
                <c:pt idx="117">
                  <c:v>89.518920925762714</c:v>
                </c:pt>
                <c:pt idx="118">
                  <c:v>89.085896131658984</c:v>
                </c:pt>
                <c:pt idx="119">
                  <c:v>88.657040462987851</c:v>
                </c:pt>
                <c:pt idx="120">
                  <c:v>88.232293998237978</c:v>
                </c:pt>
                <c:pt idx="121">
                  <c:v>87.811597958732975</c:v>
                </c:pt>
                <c:pt idx="122">
                  <c:v>87.39489468151568</c:v>
                </c:pt>
                <c:pt idx="123">
                  <c:v>86.982127592999944</c:v>
                </c:pt>
                <c:pt idx="124">
                  <c:v>86.168180981676343</c:v>
                </c:pt>
                <c:pt idx="125">
                  <c:v>85.369326368305678</c:v>
                </c:pt>
                <c:pt idx="126">
                  <c:v>84.585147860402785</c:v>
                </c:pt>
                <c:pt idx="127">
                  <c:v>83.815244707475586</c:v>
                </c:pt>
                <c:pt idx="128">
                  <c:v>83.05923061812112</c:v>
                </c:pt>
                <c:pt idx="129">
                  <c:v>81.227548000407907</c:v>
                </c:pt>
                <c:pt idx="130">
                  <c:v>79.474909442515596</c:v>
                </c:pt>
                <c:pt idx="131">
                  <c:v>77.796306435566578</c:v>
                </c:pt>
                <c:pt idx="132">
                  <c:v>76.187144860538183</c:v>
                </c:pt>
                <c:pt idx="133">
                  <c:v>74.643202999955662</c:v>
                </c:pt>
                <c:pt idx="134">
                  <c:v>73.160594553568487</c:v>
                </c:pt>
                <c:pt idx="135">
                  <c:v>70.36531755713554</c:v>
                </c:pt>
                <c:pt idx="136">
                  <c:v>67.775780375869957</c:v>
                </c:pt>
                <c:pt idx="137">
                  <c:v>65.370074766532056</c:v>
                </c:pt>
                <c:pt idx="138">
                  <c:v>63.129296399687099</c:v>
                </c:pt>
                <c:pt idx="139">
                  <c:v>61.037047076823157</c:v>
                </c:pt>
                <c:pt idx="140">
                  <c:v>59.079032758068017</c:v>
                </c:pt>
                <c:pt idx="141">
                  <c:v>57.242736554591019</c:v>
                </c:pt>
                <c:pt idx="142">
                  <c:v>55.517150866985418</c:v>
                </c:pt>
                <c:pt idx="143">
                  <c:v>53.892556554139951</c:v>
                </c:pt>
                <c:pt idx="144">
                  <c:v>52.659773288229744</c:v>
                </c:pt>
                <c:pt idx="145">
                  <c:v>52.659773288229744</c:v>
                </c:pt>
              </c:numCache>
            </c:numRef>
          </c:yVal>
          <c:smooth val="1"/>
        </c:ser>
        <c:ser>
          <c:idx val="0"/>
          <c:order val="2"/>
          <c:tx>
            <c:strRef>
              <c:f>Ver130kHz!$K$212</c:f>
              <c:strCache>
                <c:ptCount val="1"/>
                <c:pt idx="0">
                  <c:v>Peak at 90VAC </c:v>
                </c:pt>
              </c:strCache>
            </c:strRef>
          </c:tx>
          <c:spPr>
            <a:ln>
              <a:solidFill>
                <a:srgbClr val="CC00CC"/>
              </a:solidFill>
              <a:prstDash val="solid"/>
            </a:ln>
          </c:spPr>
          <c:marker>
            <c:symbol val="none"/>
          </c:marker>
          <c:xVal>
            <c:numRef>
              <c:f>Ver130kHz!$N$214:$N$359</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4.6659984042518658</c:v>
                </c:pt>
                <c:pt idx="57">
                  <c:v>4.7946270126310253</c:v>
                </c:pt>
                <c:pt idx="58">
                  <c:v>4.9270512263163555</c:v>
                </c:pt>
                <c:pt idx="59">
                  <c:v>5.0634178536063903</c:v>
                </c:pt>
                <c:pt idx="60">
                  <c:v>5.2038813727861086</c:v>
                </c:pt>
                <c:pt idx="61">
                  <c:v>5.3486044396530383</c:v>
                </c:pt>
                <c:pt idx="62">
                  <c:v>5.4977584358837088</c:v>
                </c:pt>
                <c:pt idx="63">
                  <c:v>5.6515240621266782</c:v>
                </c:pt>
                <c:pt idx="64">
                  <c:v>5.8100919801368613</c:v>
                </c:pt>
                <c:pt idx="65">
                  <c:v>5.9736635087482002</c:v>
                </c:pt>
                <c:pt idx="66">
                  <c:v>6.1424513790256245</c:v>
                </c:pt>
                <c:pt idx="67">
                  <c:v>6.3166805545513975</c:v>
                </c:pt>
                <c:pt idx="68">
                  <c:v>6.4965891234959194</c:v>
                </c:pt>
                <c:pt idx="69">
                  <c:v>6.6824292699103633</c:v>
                </c:pt>
                <c:pt idx="70">
                  <c:v>6.8744683325724552</c:v>
                </c:pt>
                <c:pt idx="71">
                  <c:v>7.0729899607333753</c:v>
                </c:pt>
                <c:pt idx="72">
                  <c:v>7.278295377271907</c:v>
                </c:pt>
                <c:pt idx="73">
                  <c:v>7.4907047610844222</c:v>
                </c:pt>
                <c:pt idx="74">
                  <c:v>7.7105587620517904</c:v>
                </c:pt>
                <c:pt idx="75">
                  <c:v>7.9382201636578982</c:v>
                </c:pt>
                <c:pt idx="76">
                  <c:v>8.1740757103258552</c:v>
                </c:pt>
                <c:pt idx="77">
                  <c:v>8.4185381188301402</c:v>
                </c:pt>
                <c:pt idx="78">
                  <c:v>8.6720482957872136</c:v>
                </c:pt>
                <c:pt idx="79">
                  <c:v>8.935077786285424</c:v>
                </c:pt>
                <c:pt idx="80">
                  <c:v>9.2081314822590965</c:v>
                </c:pt>
                <c:pt idx="81">
                  <c:v>9.4917506233305389</c:v>
                </c:pt>
                <c:pt idx="82">
                  <c:v>9.7865161276417272</c:v>
                </c:pt>
                <c:pt idx="83">
                  <c:v>10.093052295801424</c:v>
                </c:pt>
                <c:pt idx="84">
                  <c:v>10.412030937637311</c:v>
                </c:pt>
                <c:pt idx="85">
                  <c:v>10.744175979152253</c:v>
                </c:pt>
                <c:pt idx="86">
                  <c:v>11.090268616165266</c:v>
                </c:pt>
                <c:pt idx="87">
                  <c:v>11.451153091848713</c:v>
                </c:pt>
                <c:pt idx="88">
                  <c:v>11.827743188092837</c:v>
                </c:pt>
                <c:pt idx="89">
                  <c:v>12.221029535754868</c:v>
                </c:pt>
                <c:pt idx="90">
                  <c:v>12.632087866900424</c:v>
                </c:pt>
                <c:pt idx="91">
                  <c:v>13.062088353760236</c:v>
                </c:pt>
                <c:pt idx="92">
                  <c:v>13.512306205106551</c:v>
                </c:pt>
                <c:pt idx="93">
                  <c:v>13.984133722102321</c:v>
                </c:pt>
                <c:pt idx="94">
                  <c:v>14.479094053654226</c:v>
                </c:pt>
                <c:pt idx="95">
                  <c:v>14.998856937501628</c:v>
                </c:pt>
                <c:pt idx="96">
                  <c:v>15.545256769726608</c:v>
                </c:pt>
                <c:pt idx="97">
                  <c:v>16.120313414664913</c:v>
                </c:pt>
                <c:pt idx="98">
                  <c:v>16.726256252665241</c:v>
                </c:pt>
                <c:pt idx="99">
                  <c:v>17.365552069089734</c:v>
                </c:pt>
                <c:pt idx="100">
                  <c:v>18.040937519973536</c:v>
                </c:pt>
                <c:pt idx="101">
                  <c:v>18.755457075197171</c:v>
                </c:pt>
                <c:pt idx="102">
                  <c:v>19.512507548542541</c:v>
                </c:pt>
                <c:pt idx="103">
                  <c:v>20.315890588433557</c:v>
                </c:pt>
                <c:pt idx="104">
                  <c:v>21.169874840680745</c:v>
                </c:pt>
                <c:pt idx="105">
                  <c:v>22.079269928308882</c:v>
                </c:pt>
                <c:pt idx="106">
                  <c:v>23.049514955040749</c:v>
                </c:pt>
                <c:pt idx="107">
                  <c:v>24.086784971444292</c:v>
                </c:pt>
                <c:pt idx="108">
                  <c:v>25.198119805974194</c:v>
                </c:pt>
                <c:pt idx="109">
                  <c:v>26.391580940885202</c:v>
                </c:pt>
                <c:pt idx="110">
                  <c:v>27.676443823670464</c:v>
                </c:pt>
                <c:pt idx="111">
                  <c:v>29.063435317648199</c:v>
                </c:pt>
                <c:pt idx="112">
                  <c:v>30.565029155788942</c:v>
                </c:pt>
                <c:pt idx="113">
                  <c:v>32.195816629529105</c:v>
                </c:pt>
                <c:pt idx="114">
                  <c:v>33.972975854192697</c:v>
                </c:pt>
                <c:pt idx="115">
                  <c:v>35.916871612730354</c:v>
                </c:pt>
                <c:pt idx="116">
                  <c:v>38.051830230008299</c:v>
                </c:pt>
                <c:pt idx="117">
                  <c:v>40.407152108448763</c:v>
                </c:pt>
                <c:pt idx="118">
                  <c:v>43.018451548244869</c:v>
                </c:pt>
                <c:pt idx="119">
                  <c:v>45.929454300236202</c:v>
                </c:pt>
                <c:pt idx="120">
                  <c:v>49.194446308481503</c:v>
                </c:pt>
                <c:pt idx="121">
                  <c:v>52.881666547486333</c:v>
                </c:pt>
                <c:pt idx="122">
                  <c:v>57.078097768401499</c:v>
                </c:pt>
                <c:pt idx="123">
                  <c:v>59.748073234536349</c:v>
                </c:pt>
                <c:pt idx="124">
                  <c:v>60.375400734703412</c:v>
                </c:pt>
                <c:pt idx="125">
                  <c:v>61.002773447264197</c:v>
                </c:pt>
                <c:pt idx="126">
                  <c:v>61.630190151209476</c:v>
                </c:pt>
                <c:pt idx="127">
                  <c:v>62.257649669104048</c:v>
                </c:pt>
                <c:pt idx="128">
                  <c:v>62.885150865160014</c:v>
                </c:pt>
                <c:pt idx="129">
                  <c:v>64.454079098317564</c:v>
                </c:pt>
                <c:pt idx="130">
                  <c:v>66.023244958410274</c:v>
                </c:pt>
                <c:pt idx="131">
                  <c:v>67.59263366594341</c:v>
                </c:pt>
                <c:pt idx="132">
                  <c:v>69.162231642166233</c:v>
                </c:pt>
                <c:pt idx="133">
                  <c:v>70.732026389558342</c:v>
                </c:pt>
                <c:pt idx="134">
                  <c:v>72.302006386311461</c:v>
                </c:pt>
                <c:pt idx="135">
                  <c:v>75.442480369371765</c:v>
                </c:pt>
                <c:pt idx="136">
                  <c:v>78.58357763452166</c:v>
                </c:pt>
                <c:pt idx="137">
                  <c:v>81.725232841873492</c:v>
                </c:pt>
                <c:pt idx="138">
                  <c:v>84.86738947611893</c:v>
                </c:pt>
                <c:pt idx="139">
                  <c:v>88.009998405415487</c:v>
                </c:pt>
                <c:pt idx="140">
                  <c:v>91.153016713752933</c:v>
                </c:pt>
                <c:pt idx="141">
                  <c:v>94.296406748108296</c:v>
                </c:pt>
                <c:pt idx="142">
                  <c:v>97.440135335664607</c:v>
                </c:pt>
                <c:pt idx="143">
                  <c:v>100.58417313670448</c:v>
                </c:pt>
                <c:pt idx="144">
                  <c:v>103.09960841036295</c:v>
                </c:pt>
                <c:pt idx="145">
                  <c:v>103.09960841036295</c:v>
                </c:pt>
              </c:numCache>
            </c:numRef>
          </c:xVal>
          <c:yVal>
            <c:numRef>
              <c:f>Ver130kHz!$M$214:$M$359</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22.026757883358133</c:v>
                </c:pt>
                <c:pt idx="57">
                  <c:v>22.303606436933268</c:v>
                </c:pt>
                <c:pt idx="58">
                  <c:v>22.58750284716422</c:v>
                </c:pt>
                <c:pt idx="59">
                  <c:v>22.878719714535098</c:v>
                </c:pt>
                <c:pt idx="60">
                  <c:v>23.177543881517952</c:v>
                </c:pt>
                <c:pt idx="61">
                  <c:v>23.48427737497089</c:v>
                </c:pt>
                <c:pt idx="62">
                  <c:v>23.799238424370419</c:v>
                </c:pt>
                <c:pt idx="63">
                  <c:v>24.122762563094199</c:v>
                </c:pt>
                <c:pt idx="64">
                  <c:v>24.455203820765959</c:v>
                </c:pt>
                <c:pt idx="65">
                  <c:v>24.796936015569976</c:v>
                </c:pt>
                <c:pt idx="66">
                  <c:v>25.148354156452349</c:v>
                </c:pt>
                <c:pt idx="67">
                  <c:v>25.509875966266939</c:v>
                </c:pt>
                <c:pt idx="68">
                  <c:v>25.881943538213928</c:v>
                </c:pt>
                <c:pt idx="69">
                  <c:v>26.265025139381205</c:v>
                </c:pt>
                <c:pt idx="70">
                  <c:v>26.659617176858553</c:v>
                </c:pt>
                <c:pt idx="71">
                  <c:v>27.066246343782272</c:v>
                </c:pt>
                <c:pt idx="72">
                  <c:v>27.485471964818597</c:v>
                </c:pt>
                <c:pt idx="73">
                  <c:v>27.917888563049853</c:v>
                </c:pt>
                <c:pt idx="74">
                  <c:v>28.364128673035488</c:v>
                </c:pt>
                <c:pt idx="75">
                  <c:v>28.824865928039575</c:v>
                </c:pt>
                <c:pt idx="76">
                  <c:v>29.300818453113759</c:v>
                </c:pt>
                <c:pt idx="77">
                  <c:v>29.792752599980972</c:v>
                </c:pt>
                <c:pt idx="78">
                  <c:v>30.301487064575266</c:v>
                </c:pt>
                <c:pt idx="79">
                  <c:v>30.82789743377182</c:v>
                </c:pt>
                <c:pt idx="80">
                  <c:v>31.372921214422043</c:v>
                </c:pt>
                <c:pt idx="81">
                  <c:v>31.937563405456757</c:v>
                </c:pt>
                <c:pt idx="82">
                  <c:v>32.522902682729509</c:v>
                </c:pt>
                <c:pt idx="83">
                  <c:v>33.130098276678069</c:v>
                </c:pt>
                <c:pt idx="84">
                  <c:v>33.76039763506995</c:v>
                </c:pt>
                <c:pt idx="85">
                  <c:v>34.415144977413249</c:v>
                </c:pt>
                <c:pt idx="86">
                  <c:v>35.095790864477152</c:v>
                </c:pt>
                <c:pt idx="87">
                  <c:v>35.803902926292089</c:v>
                </c:pt>
                <c:pt idx="88">
                  <c:v>36.54117791561751</c:v>
                </c:pt>
                <c:pt idx="89">
                  <c:v>37.309455281952879</c:v>
                </c:pt>
                <c:pt idx="90">
                  <c:v>38.11073249468371</c:v>
                </c:pt>
                <c:pt idx="91">
                  <c:v>38.947182384091214</c:v>
                </c:pt>
                <c:pt idx="92">
                  <c:v>39.821172817197386</c:v>
                </c:pt>
                <c:pt idx="93">
                  <c:v>40.735289083627144</c:v>
                </c:pt>
                <c:pt idx="94">
                  <c:v>41.692359437188173</c:v>
                </c:pt>
                <c:pt idx="95">
                  <c:v>42.695484324657897</c:v>
                </c:pt>
                <c:pt idx="96">
                  <c:v>43.748069938090964</c:v>
                </c:pt>
                <c:pt idx="97">
                  <c:v>44.853866855630855</c:v>
                </c:pt>
                <c:pt idx="98">
                  <c:v>46.017014694508909</c:v>
                </c:pt>
                <c:pt idx="99">
                  <c:v>47.242093896639055</c:v>
                </c:pt>
                <c:pt idx="100">
                  <c:v>48.534186012366021</c:v>
                </c:pt>
                <c:pt idx="101">
                  <c:v>49.8989441551144</c:v>
                </c:pt>
                <c:pt idx="102">
                  <c:v>51.342675686870059</c:v>
                </c:pt>
                <c:pt idx="103">
                  <c:v>52.872439685431154</c:v>
                </c:pt>
                <c:pt idx="104">
                  <c:v>54.496162371086768</c:v>
                </c:pt>
                <c:pt idx="105">
                  <c:v>56.222774475805288</c:v>
                </c:pt>
                <c:pt idx="106">
                  <c:v>58.062375580623716</c:v>
                </c:pt>
                <c:pt idx="107">
                  <c:v>60.026431806946903</c:v>
                </c:pt>
                <c:pt idx="108">
                  <c:v>62.128015036023768</c:v>
                </c:pt>
                <c:pt idx="109">
                  <c:v>64.38209420344738</c:v>
                </c:pt>
                <c:pt idx="110">
                  <c:v>66.805892391987754</c:v>
                </c:pt>
                <c:pt idx="111">
                  <c:v>69.419327740896691</c:v>
                </c:pt>
                <c:pt idx="112">
                  <c:v>72.245562058330648</c:v>
                </c:pt>
                <c:pt idx="113">
                  <c:v>75.311689133599103</c:v>
                </c:pt>
                <c:pt idx="114">
                  <c:v>78.649606091048369</c:v>
                </c:pt>
                <c:pt idx="115">
                  <c:v>82.297127207845165</c:v>
                </c:pt>
                <c:pt idx="116">
                  <c:v>86.299422736634369</c:v>
                </c:pt>
                <c:pt idx="117">
                  <c:v>90.710899028859785</c:v>
                </c:pt>
                <c:pt idx="118">
                  <c:v>95.597686375321189</c:v>
                </c:pt>
                <c:pt idx="119">
                  <c:v>101.04097678604779</c:v>
                </c:pt>
                <c:pt idx="120">
                  <c:v>107.14157092952043</c:v>
                </c:pt>
                <c:pt idx="121">
                  <c:v>114.02617811080658</c:v>
                </c:pt>
                <c:pt idx="122">
                  <c:v>121.85631195215844</c:v>
                </c:pt>
                <c:pt idx="123">
                  <c:v>126.29987943500858</c:v>
                </c:pt>
                <c:pt idx="124">
                  <c:v>125.14207976881799</c:v>
                </c:pt>
                <c:pt idx="125">
                  <c:v>124.00531453658985</c:v>
                </c:pt>
                <c:pt idx="126">
                  <c:v>122.88901568086678</c:v>
                </c:pt>
                <c:pt idx="127">
                  <c:v>121.79263541636864</c:v>
                </c:pt>
                <c:pt idx="128">
                  <c:v>120.7156453336773</c:v>
                </c:pt>
                <c:pt idx="129">
                  <c:v>118.10469949044939</c:v>
                </c:pt>
                <c:pt idx="130">
                  <c:v>115.60430625604999</c:v>
                </c:pt>
                <c:pt idx="131">
                  <c:v>113.20758967717781</c:v>
                </c:pt>
                <c:pt idx="132">
                  <c:v>110.90823242996969</c:v>
                </c:pt>
                <c:pt idx="133">
                  <c:v>108.70042021777573</c:v>
                </c:pt>
                <c:pt idx="134">
                  <c:v>106.57879268043909</c:v>
                </c:pt>
                <c:pt idx="135">
                  <c:v>102.57466405860323</c:v>
                </c:pt>
                <c:pt idx="136">
                  <c:v>98.860508713497509</c:v>
                </c:pt>
                <c:pt idx="137">
                  <c:v>95.405928176070901</c:v>
                </c:pt>
                <c:pt idx="138">
                  <c:v>92.184629489384747</c:v>
                </c:pt>
                <c:pt idx="139">
                  <c:v>89.173754750708113</c:v>
                </c:pt>
                <c:pt idx="140">
                  <c:v>86.353337886392524</c:v>
                </c:pt>
                <c:pt idx="141">
                  <c:v>83.705861354031953</c:v>
                </c:pt>
                <c:pt idx="142">
                  <c:v>81.215891964390821</c:v>
                </c:pt>
                <c:pt idx="143">
                  <c:v>78.869779824174827</c:v>
                </c:pt>
                <c:pt idx="144">
                  <c:v>77.08827876756645</c:v>
                </c:pt>
                <c:pt idx="145">
                  <c:v>77.08827876756645</c:v>
                </c:pt>
              </c:numCache>
            </c:numRef>
          </c:yVal>
          <c:smooth val="1"/>
        </c:ser>
        <c:ser>
          <c:idx val="1"/>
          <c:order val="3"/>
          <c:tx>
            <c:strRef>
              <c:f>Ver130kHz!$O$212</c:f>
              <c:strCache>
                <c:ptCount val="1"/>
                <c:pt idx="0">
                  <c:v>Peak at 100VAC </c:v>
                </c:pt>
              </c:strCache>
            </c:strRef>
          </c:tx>
          <c:spPr>
            <a:ln>
              <a:solidFill>
                <a:srgbClr val="CC0000"/>
              </a:solidFill>
              <a:prstDash val="solid"/>
            </a:ln>
          </c:spPr>
          <c:marker>
            <c:symbol val="none"/>
          </c:marker>
          <c:xVal>
            <c:numRef>
              <c:f>Ver130kHz!$R$214:$R$359</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4.6659984042518658</c:v>
                </c:pt>
                <c:pt idx="57">
                  <c:v>4.7946270126310253</c:v>
                </c:pt>
                <c:pt idx="58">
                  <c:v>4.9270512263163555</c:v>
                </c:pt>
                <c:pt idx="59">
                  <c:v>5.0634178536063903</c:v>
                </c:pt>
                <c:pt idx="60">
                  <c:v>5.2038813727861086</c:v>
                </c:pt>
                <c:pt idx="61">
                  <c:v>5.3486044396530383</c:v>
                </c:pt>
                <c:pt idx="62">
                  <c:v>5.4977584358837088</c:v>
                </c:pt>
                <c:pt idx="63">
                  <c:v>5.6515240621266782</c:v>
                </c:pt>
                <c:pt idx="64">
                  <c:v>5.8100919801368613</c:v>
                </c:pt>
                <c:pt idx="65">
                  <c:v>5.9736635087482002</c:v>
                </c:pt>
                <c:pt idx="66">
                  <c:v>6.1424513790256245</c:v>
                </c:pt>
                <c:pt idx="67">
                  <c:v>6.3166805545513975</c:v>
                </c:pt>
                <c:pt idx="68">
                  <c:v>6.4965891234959194</c:v>
                </c:pt>
                <c:pt idx="69">
                  <c:v>6.6824292699103633</c:v>
                </c:pt>
                <c:pt idx="70">
                  <c:v>6.8744683325724552</c:v>
                </c:pt>
                <c:pt idx="71">
                  <c:v>7.0729899607333753</c:v>
                </c:pt>
                <c:pt idx="72">
                  <c:v>7.278295377271907</c:v>
                </c:pt>
                <c:pt idx="73">
                  <c:v>7.4907047610844222</c:v>
                </c:pt>
                <c:pt idx="74">
                  <c:v>7.7105587620517904</c:v>
                </c:pt>
                <c:pt idx="75">
                  <c:v>7.9382201636578982</c:v>
                </c:pt>
                <c:pt idx="76">
                  <c:v>8.1740757103258552</c:v>
                </c:pt>
                <c:pt idx="77">
                  <c:v>8.4185381188301402</c:v>
                </c:pt>
                <c:pt idx="78">
                  <c:v>8.6720482957872136</c:v>
                </c:pt>
                <c:pt idx="79">
                  <c:v>8.935077786285424</c:v>
                </c:pt>
                <c:pt idx="80">
                  <c:v>9.2081314822590965</c:v>
                </c:pt>
                <c:pt idx="81">
                  <c:v>9.4917506233305389</c:v>
                </c:pt>
                <c:pt idx="82">
                  <c:v>9.7865161276417272</c:v>
                </c:pt>
                <c:pt idx="83">
                  <c:v>10.093052295801424</c:v>
                </c:pt>
                <c:pt idx="84">
                  <c:v>10.412030937637311</c:v>
                </c:pt>
                <c:pt idx="85">
                  <c:v>10.744175979152253</c:v>
                </c:pt>
                <c:pt idx="86">
                  <c:v>11.090268616165266</c:v>
                </c:pt>
                <c:pt idx="87">
                  <c:v>11.451153091848713</c:v>
                </c:pt>
                <c:pt idx="88">
                  <c:v>11.827743188092837</c:v>
                </c:pt>
                <c:pt idx="89">
                  <c:v>12.221029535754868</c:v>
                </c:pt>
                <c:pt idx="90">
                  <c:v>12.632087866900424</c:v>
                </c:pt>
                <c:pt idx="91">
                  <c:v>13.062088353760236</c:v>
                </c:pt>
                <c:pt idx="92">
                  <c:v>13.512306205106551</c:v>
                </c:pt>
                <c:pt idx="93">
                  <c:v>13.984133722102321</c:v>
                </c:pt>
                <c:pt idx="94">
                  <c:v>14.479094053654226</c:v>
                </c:pt>
                <c:pt idx="95">
                  <c:v>14.998856937501628</c:v>
                </c:pt>
                <c:pt idx="96">
                  <c:v>15.545256769726608</c:v>
                </c:pt>
                <c:pt idx="97">
                  <c:v>16.120313414664913</c:v>
                </c:pt>
                <c:pt idx="98">
                  <c:v>16.726256252665241</c:v>
                </c:pt>
                <c:pt idx="99">
                  <c:v>17.365552069089734</c:v>
                </c:pt>
                <c:pt idx="100">
                  <c:v>18.040937519973536</c:v>
                </c:pt>
                <c:pt idx="101">
                  <c:v>18.755457075197171</c:v>
                </c:pt>
                <c:pt idx="102">
                  <c:v>19.512507548542541</c:v>
                </c:pt>
                <c:pt idx="103">
                  <c:v>20.315890588433557</c:v>
                </c:pt>
                <c:pt idx="104">
                  <c:v>21.169874840680745</c:v>
                </c:pt>
                <c:pt idx="105">
                  <c:v>22.079269928308882</c:v>
                </c:pt>
                <c:pt idx="106">
                  <c:v>23.049514955040749</c:v>
                </c:pt>
                <c:pt idx="107">
                  <c:v>24.086784971444292</c:v>
                </c:pt>
                <c:pt idx="108">
                  <c:v>25.198119805974194</c:v>
                </c:pt>
                <c:pt idx="109">
                  <c:v>26.391580940885202</c:v>
                </c:pt>
                <c:pt idx="110">
                  <c:v>27.676443823670464</c:v>
                </c:pt>
                <c:pt idx="111">
                  <c:v>29.063435317648199</c:v>
                </c:pt>
                <c:pt idx="112">
                  <c:v>30.565029155788942</c:v>
                </c:pt>
                <c:pt idx="113">
                  <c:v>32.195816629529105</c:v>
                </c:pt>
                <c:pt idx="114">
                  <c:v>33.972975854192697</c:v>
                </c:pt>
                <c:pt idx="115">
                  <c:v>35.916871612730354</c:v>
                </c:pt>
                <c:pt idx="116">
                  <c:v>38.051830230008299</c:v>
                </c:pt>
                <c:pt idx="117">
                  <c:v>40.407152108448763</c:v>
                </c:pt>
                <c:pt idx="118">
                  <c:v>43.018451548244869</c:v>
                </c:pt>
                <c:pt idx="119">
                  <c:v>45.929454300236202</c:v>
                </c:pt>
                <c:pt idx="120">
                  <c:v>49.194446308481503</c:v>
                </c:pt>
                <c:pt idx="121">
                  <c:v>52.881666547486333</c:v>
                </c:pt>
                <c:pt idx="122">
                  <c:v>57.078097768401499</c:v>
                </c:pt>
                <c:pt idx="123">
                  <c:v>61.896376656593809</c:v>
                </c:pt>
                <c:pt idx="124">
                  <c:v>63.124930938112406</c:v>
                </c:pt>
                <c:pt idx="125">
                  <c:v>64.018749921784263</c:v>
                </c:pt>
                <c:pt idx="126">
                  <c:v>64.679088892160948</c:v>
                </c:pt>
                <c:pt idx="127">
                  <c:v>65.339477350118031</c:v>
                </c:pt>
                <c:pt idx="128">
                  <c:v>65.99991398700341</c:v>
                </c:pt>
                <c:pt idx="129">
                  <c:v>67.651208181376191</c:v>
                </c:pt>
                <c:pt idx="130">
                  <c:v>69.302777146089014</c:v>
                </c:pt>
                <c:pt idx="131">
                  <c:v>70.954603842469169</c:v>
                </c:pt>
                <c:pt idx="132">
                  <c:v>72.606672612085077</c:v>
                </c:pt>
                <c:pt idx="133">
                  <c:v>74.25896903976016</c:v>
                </c:pt>
                <c:pt idx="134">
                  <c:v>75.911479832583581</c:v>
                </c:pt>
                <c:pt idx="135">
                  <c:v>79.217096322625508</c:v>
                </c:pt>
                <c:pt idx="136">
                  <c:v>82.523434402181991</c:v>
                </c:pt>
                <c:pt idx="137">
                  <c:v>85.830418615946073</c:v>
                </c:pt>
                <c:pt idx="138">
                  <c:v>89.137983674565291</c:v>
                </c:pt>
                <c:pt idx="139">
                  <c:v>92.4460727983775</c:v>
                </c:pt>
                <c:pt idx="140">
                  <c:v>95.754636374739917</c:v>
                </c:pt>
                <c:pt idx="141">
                  <c:v>99.06363086179995</c:v>
                </c:pt>
                <c:pt idx="142">
                  <c:v>102.37301788750131</c:v>
                </c:pt>
                <c:pt idx="143">
                  <c:v>105.68276350442943</c:v>
                </c:pt>
                <c:pt idx="144">
                  <c:v>108.33079781363975</c:v>
                </c:pt>
                <c:pt idx="145">
                  <c:v>108.33079781363975</c:v>
                </c:pt>
              </c:numCache>
            </c:numRef>
          </c:xVal>
          <c:yVal>
            <c:numRef>
              <c:f>Ver130kHz!$Q$214:$Q$359</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22.026757883358133</c:v>
                </c:pt>
                <c:pt idx="57">
                  <c:v>22.303606436933268</c:v>
                </c:pt>
                <c:pt idx="58">
                  <c:v>22.58750284716422</c:v>
                </c:pt>
                <c:pt idx="59">
                  <c:v>22.878719714535098</c:v>
                </c:pt>
                <c:pt idx="60">
                  <c:v>23.177543881517952</c:v>
                </c:pt>
                <c:pt idx="61">
                  <c:v>23.48427737497089</c:v>
                </c:pt>
                <c:pt idx="62">
                  <c:v>23.799238424370419</c:v>
                </c:pt>
                <c:pt idx="63">
                  <c:v>24.122762563094199</c:v>
                </c:pt>
                <c:pt idx="64">
                  <c:v>24.455203820765959</c:v>
                </c:pt>
                <c:pt idx="65">
                  <c:v>24.796936015569976</c:v>
                </c:pt>
                <c:pt idx="66">
                  <c:v>25.148354156452349</c:v>
                </c:pt>
                <c:pt idx="67">
                  <c:v>25.509875966266939</c:v>
                </c:pt>
                <c:pt idx="68">
                  <c:v>25.881943538213928</c:v>
                </c:pt>
                <c:pt idx="69">
                  <c:v>26.265025139381205</c:v>
                </c:pt>
                <c:pt idx="70">
                  <c:v>26.659617176858553</c:v>
                </c:pt>
                <c:pt idx="71">
                  <c:v>27.066246343782272</c:v>
                </c:pt>
                <c:pt idx="72">
                  <c:v>27.485471964818597</c:v>
                </c:pt>
                <c:pt idx="73">
                  <c:v>27.917888563049853</c:v>
                </c:pt>
                <c:pt idx="74">
                  <c:v>28.364128673035488</c:v>
                </c:pt>
                <c:pt idx="75">
                  <c:v>28.824865928039575</c:v>
                </c:pt>
                <c:pt idx="76">
                  <c:v>29.300818453113759</c:v>
                </c:pt>
                <c:pt idx="77">
                  <c:v>29.792752599980972</c:v>
                </c:pt>
                <c:pt idx="78">
                  <c:v>30.301487064575266</c:v>
                </c:pt>
                <c:pt idx="79">
                  <c:v>30.82789743377182</c:v>
                </c:pt>
                <c:pt idx="80">
                  <c:v>31.372921214422043</c:v>
                </c:pt>
                <c:pt idx="81">
                  <c:v>31.937563405456757</c:v>
                </c:pt>
                <c:pt idx="82">
                  <c:v>32.522902682729509</c:v>
                </c:pt>
                <c:pt idx="83">
                  <c:v>33.130098276678069</c:v>
                </c:pt>
                <c:pt idx="84">
                  <c:v>33.76039763506995</c:v>
                </c:pt>
                <c:pt idx="85">
                  <c:v>34.415144977413249</c:v>
                </c:pt>
                <c:pt idx="86">
                  <c:v>35.095790864477152</c:v>
                </c:pt>
                <c:pt idx="87">
                  <c:v>35.803902926292089</c:v>
                </c:pt>
                <c:pt idx="88">
                  <c:v>36.54117791561751</c:v>
                </c:pt>
                <c:pt idx="89">
                  <c:v>37.309455281952879</c:v>
                </c:pt>
                <c:pt idx="90">
                  <c:v>38.11073249468371</c:v>
                </c:pt>
                <c:pt idx="91">
                  <c:v>38.947182384091214</c:v>
                </c:pt>
                <c:pt idx="92">
                  <c:v>39.821172817197386</c:v>
                </c:pt>
                <c:pt idx="93">
                  <c:v>40.735289083627144</c:v>
                </c:pt>
                <c:pt idx="94">
                  <c:v>41.692359437188173</c:v>
                </c:pt>
                <c:pt idx="95">
                  <c:v>42.695484324657897</c:v>
                </c:pt>
                <c:pt idx="96">
                  <c:v>43.748069938090964</c:v>
                </c:pt>
                <c:pt idx="97">
                  <c:v>44.853866855630855</c:v>
                </c:pt>
                <c:pt idx="98">
                  <c:v>46.017014694508909</c:v>
                </c:pt>
                <c:pt idx="99">
                  <c:v>47.242093896639055</c:v>
                </c:pt>
                <c:pt idx="100">
                  <c:v>48.534186012366021</c:v>
                </c:pt>
                <c:pt idx="101">
                  <c:v>49.8989441551144</c:v>
                </c:pt>
                <c:pt idx="102">
                  <c:v>51.342675686870059</c:v>
                </c:pt>
                <c:pt idx="103">
                  <c:v>52.872439685431154</c:v>
                </c:pt>
                <c:pt idx="104">
                  <c:v>54.496162371086768</c:v>
                </c:pt>
                <c:pt idx="105">
                  <c:v>56.222774475805288</c:v>
                </c:pt>
                <c:pt idx="106">
                  <c:v>58.062375580623716</c:v>
                </c:pt>
                <c:pt idx="107">
                  <c:v>60.026431806946903</c:v>
                </c:pt>
                <c:pt idx="108">
                  <c:v>62.128015036023768</c:v>
                </c:pt>
                <c:pt idx="109">
                  <c:v>64.38209420344738</c:v>
                </c:pt>
                <c:pt idx="110">
                  <c:v>66.805892391987754</c:v>
                </c:pt>
                <c:pt idx="111">
                  <c:v>69.419327740896691</c:v>
                </c:pt>
                <c:pt idx="112">
                  <c:v>72.245562058330648</c:v>
                </c:pt>
                <c:pt idx="113">
                  <c:v>75.311689133599103</c:v>
                </c:pt>
                <c:pt idx="114">
                  <c:v>78.649606091048369</c:v>
                </c:pt>
                <c:pt idx="115">
                  <c:v>82.297127207845165</c:v>
                </c:pt>
                <c:pt idx="116">
                  <c:v>86.299422736634369</c:v>
                </c:pt>
                <c:pt idx="117">
                  <c:v>90.710899028859785</c:v>
                </c:pt>
                <c:pt idx="118">
                  <c:v>95.597686375321189</c:v>
                </c:pt>
                <c:pt idx="119">
                  <c:v>101.04097678604779</c:v>
                </c:pt>
                <c:pt idx="120">
                  <c:v>107.14157092952043</c:v>
                </c:pt>
                <c:pt idx="121">
                  <c:v>114.02617811080658</c:v>
                </c:pt>
                <c:pt idx="122">
                  <c:v>121.85631195215844</c:v>
                </c:pt>
                <c:pt idx="123">
                  <c:v>130.8411214953272</c:v>
                </c:pt>
                <c:pt idx="124">
                  <c:v>130.84112149532709</c:v>
                </c:pt>
                <c:pt idx="125">
                  <c:v>130.1361359767188</c:v>
                </c:pt>
                <c:pt idx="126">
                  <c:v>128.96844143416874</c:v>
                </c:pt>
                <c:pt idx="127">
                  <c:v>127.82151567710352</c:v>
                </c:pt>
                <c:pt idx="128">
                  <c:v>126.69480949472219</c:v>
                </c:pt>
                <c:pt idx="129">
                  <c:v>123.9630714487367</c:v>
                </c:pt>
                <c:pt idx="130">
                  <c:v>121.34664811822002</c:v>
                </c:pt>
                <c:pt idx="131">
                  <c:v>118.83838876886647</c:v>
                </c:pt>
                <c:pt idx="132">
                  <c:v>116.43172192145344</c:v>
                </c:pt>
                <c:pt idx="133">
                  <c:v>114.12059786190906</c:v>
                </c:pt>
                <c:pt idx="134">
                  <c:v>111.89943786503271</c:v>
                </c:pt>
                <c:pt idx="135">
                  <c:v>107.70678539739787</c:v>
                </c:pt>
                <c:pt idx="136">
                  <c:v>103.81696725144667</c:v>
                </c:pt>
                <c:pt idx="137">
                  <c:v>100.19831659138934</c:v>
                </c:pt>
                <c:pt idx="138">
                  <c:v>96.823432995813718</c:v>
                </c:pt>
                <c:pt idx="139">
                  <c:v>93.66848736224226</c:v>
                </c:pt>
                <c:pt idx="140">
                  <c:v>90.71265841944431</c:v>
                </c:pt>
                <c:pt idx="141">
                  <c:v>87.937672665466437</c:v>
                </c:pt>
                <c:pt idx="142">
                  <c:v>85.327426241543677</c:v>
                </c:pt>
                <c:pt idx="143">
                  <c:v>82.867672207995454</c:v>
                </c:pt>
                <c:pt idx="144">
                  <c:v>80.999674680930639</c:v>
                </c:pt>
                <c:pt idx="145">
                  <c:v>80.999674680930639</c:v>
                </c:pt>
              </c:numCache>
            </c:numRef>
          </c:yVal>
          <c:smooth val="1"/>
        </c:ser>
        <c:ser>
          <c:idx val="5"/>
          <c:order val="4"/>
          <c:tx>
            <c:strRef>
              <c:f>Ver130kHz!$S$212</c:f>
              <c:strCache>
                <c:ptCount val="1"/>
                <c:pt idx="0">
                  <c:v>Peak at 115VAC </c:v>
                </c:pt>
              </c:strCache>
            </c:strRef>
          </c:tx>
          <c:spPr>
            <a:ln>
              <a:solidFill>
                <a:srgbClr val="CC9900"/>
              </a:solidFill>
            </a:ln>
          </c:spPr>
          <c:marker>
            <c:symbol val="none"/>
          </c:marker>
          <c:xVal>
            <c:numRef>
              <c:f>Ver130kHz!$V$214:$V$359</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4.6659984042518658</c:v>
                </c:pt>
                <c:pt idx="57">
                  <c:v>4.7946270126310253</c:v>
                </c:pt>
                <c:pt idx="58">
                  <c:v>4.9270512263163555</c:v>
                </c:pt>
                <c:pt idx="59">
                  <c:v>5.0634178536063903</c:v>
                </c:pt>
                <c:pt idx="60">
                  <c:v>5.2038813727861086</c:v>
                </c:pt>
                <c:pt idx="61">
                  <c:v>5.3486044396530383</c:v>
                </c:pt>
                <c:pt idx="62">
                  <c:v>5.4977584358837088</c:v>
                </c:pt>
                <c:pt idx="63">
                  <c:v>5.6515240621266782</c:v>
                </c:pt>
                <c:pt idx="64">
                  <c:v>5.8100919801368613</c:v>
                </c:pt>
                <c:pt idx="65">
                  <c:v>5.9736635087482002</c:v>
                </c:pt>
                <c:pt idx="66">
                  <c:v>6.1424513790256245</c:v>
                </c:pt>
                <c:pt idx="67">
                  <c:v>6.3166805545513975</c:v>
                </c:pt>
                <c:pt idx="68">
                  <c:v>6.4965891234959194</c:v>
                </c:pt>
                <c:pt idx="69">
                  <c:v>6.6824292699103633</c:v>
                </c:pt>
                <c:pt idx="70">
                  <c:v>6.8744683325724552</c:v>
                </c:pt>
                <c:pt idx="71">
                  <c:v>7.0729899607333753</c:v>
                </c:pt>
                <c:pt idx="72">
                  <c:v>7.278295377271907</c:v>
                </c:pt>
                <c:pt idx="73">
                  <c:v>7.4907047610844222</c:v>
                </c:pt>
                <c:pt idx="74">
                  <c:v>7.7105587620517904</c:v>
                </c:pt>
                <c:pt idx="75">
                  <c:v>7.9382201636578982</c:v>
                </c:pt>
                <c:pt idx="76">
                  <c:v>8.1740757103258552</c:v>
                </c:pt>
                <c:pt idx="77">
                  <c:v>8.4185381188301402</c:v>
                </c:pt>
                <c:pt idx="78">
                  <c:v>8.6720482957872136</c:v>
                </c:pt>
                <c:pt idx="79">
                  <c:v>8.935077786285424</c:v>
                </c:pt>
                <c:pt idx="80">
                  <c:v>9.2081314822590965</c:v>
                </c:pt>
                <c:pt idx="81">
                  <c:v>9.4917506233305389</c:v>
                </c:pt>
                <c:pt idx="82">
                  <c:v>9.7865161276417272</c:v>
                </c:pt>
                <c:pt idx="83">
                  <c:v>10.093052295801424</c:v>
                </c:pt>
                <c:pt idx="84">
                  <c:v>10.412030937637311</c:v>
                </c:pt>
                <c:pt idx="85">
                  <c:v>10.744175979152253</c:v>
                </c:pt>
                <c:pt idx="86">
                  <c:v>11.090268616165266</c:v>
                </c:pt>
                <c:pt idx="87">
                  <c:v>11.451153091848713</c:v>
                </c:pt>
                <c:pt idx="88">
                  <c:v>11.827743188092837</c:v>
                </c:pt>
                <c:pt idx="89">
                  <c:v>12.221029535754868</c:v>
                </c:pt>
                <c:pt idx="90">
                  <c:v>12.632087866900424</c:v>
                </c:pt>
                <c:pt idx="91">
                  <c:v>13.062088353760236</c:v>
                </c:pt>
                <c:pt idx="92">
                  <c:v>13.512306205106551</c:v>
                </c:pt>
                <c:pt idx="93">
                  <c:v>13.984133722102321</c:v>
                </c:pt>
                <c:pt idx="94">
                  <c:v>14.479094053654226</c:v>
                </c:pt>
                <c:pt idx="95">
                  <c:v>14.998856937501628</c:v>
                </c:pt>
                <c:pt idx="96">
                  <c:v>15.545256769726608</c:v>
                </c:pt>
                <c:pt idx="97">
                  <c:v>16.120313414664913</c:v>
                </c:pt>
                <c:pt idx="98">
                  <c:v>16.726256252665241</c:v>
                </c:pt>
                <c:pt idx="99">
                  <c:v>17.365552069089734</c:v>
                </c:pt>
                <c:pt idx="100">
                  <c:v>18.040937519973536</c:v>
                </c:pt>
                <c:pt idx="101">
                  <c:v>18.755457075197171</c:v>
                </c:pt>
                <c:pt idx="102">
                  <c:v>19.512507548542541</c:v>
                </c:pt>
                <c:pt idx="103">
                  <c:v>20.315890588433557</c:v>
                </c:pt>
                <c:pt idx="104">
                  <c:v>21.169874840680745</c:v>
                </c:pt>
                <c:pt idx="105">
                  <c:v>22.079269928308882</c:v>
                </c:pt>
                <c:pt idx="106">
                  <c:v>23.049514955040749</c:v>
                </c:pt>
                <c:pt idx="107">
                  <c:v>24.086784971444292</c:v>
                </c:pt>
                <c:pt idx="108">
                  <c:v>25.198119805974194</c:v>
                </c:pt>
                <c:pt idx="109">
                  <c:v>26.391580940885202</c:v>
                </c:pt>
                <c:pt idx="110">
                  <c:v>27.676443823670464</c:v>
                </c:pt>
                <c:pt idx="111">
                  <c:v>29.063435317648199</c:v>
                </c:pt>
                <c:pt idx="112">
                  <c:v>30.565029155788942</c:v>
                </c:pt>
                <c:pt idx="113">
                  <c:v>32.195816629529105</c:v>
                </c:pt>
                <c:pt idx="114">
                  <c:v>33.972975854192697</c:v>
                </c:pt>
                <c:pt idx="115">
                  <c:v>35.916871612730354</c:v>
                </c:pt>
                <c:pt idx="116">
                  <c:v>38.051830230008299</c:v>
                </c:pt>
                <c:pt idx="117">
                  <c:v>40.407152108448763</c:v>
                </c:pt>
                <c:pt idx="118">
                  <c:v>43.018451548244869</c:v>
                </c:pt>
                <c:pt idx="119">
                  <c:v>45.929454300236202</c:v>
                </c:pt>
                <c:pt idx="120">
                  <c:v>49.194446308481503</c:v>
                </c:pt>
                <c:pt idx="121">
                  <c:v>52.881666547486333</c:v>
                </c:pt>
                <c:pt idx="122">
                  <c:v>57.078097768401499</c:v>
                </c:pt>
                <c:pt idx="123">
                  <c:v>61.896376656593809</c:v>
                </c:pt>
                <c:pt idx="124">
                  <c:v>63.124930938112406</c:v>
                </c:pt>
                <c:pt idx="125">
                  <c:v>64.365558218154291</c:v>
                </c:pt>
                <c:pt idx="126">
                  <c:v>65.618258496719321</c:v>
                </c:pt>
                <c:pt idx="127">
                  <c:v>66.88303177380763</c:v>
                </c:pt>
                <c:pt idx="128">
                  <c:v>68.15987804941912</c:v>
                </c:pt>
                <c:pt idx="129">
                  <c:v>71.404813106986893</c:v>
                </c:pt>
                <c:pt idx="130">
                  <c:v>73.790502403332042</c:v>
                </c:pt>
                <c:pt idx="131">
                  <c:v>75.55582605648479</c:v>
                </c:pt>
                <c:pt idx="132">
                  <c:v>77.321441995219686</c:v>
                </c:pt>
                <c:pt idx="133">
                  <c:v>79.087332882756783</c:v>
                </c:pt>
                <c:pt idx="134">
                  <c:v>80.853482726830066</c:v>
                </c:pt>
                <c:pt idx="135">
                  <c:v>84.386501285253829</c:v>
                </c:pt>
                <c:pt idx="136">
                  <c:v>87.920392107523398</c:v>
                </c:pt>
                <c:pt idx="137">
                  <c:v>91.455064297839257</c:v>
                </c:pt>
                <c:pt idx="138">
                  <c:v>94.990439165720019</c:v>
                </c:pt>
                <c:pt idx="139">
                  <c:v>98.526448243906515</c:v>
                </c:pt>
                <c:pt idx="140">
                  <c:v>102.06303168037611</c:v>
                </c:pt>
                <c:pt idx="141">
                  <c:v>105.60013692460083</c:v>
                </c:pt>
                <c:pt idx="142">
                  <c:v>109.13771764709003</c:v>
                </c:pt>
                <c:pt idx="143">
                  <c:v>112.6757328452787</c:v>
                </c:pt>
                <c:pt idx="144">
                  <c:v>115.50643321465328</c:v>
                </c:pt>
                <c:pt idx="145">
                  <c:v>115.50643321465328</c:v>
                </c:pt>
              </c:numCache>
            </c:numRef>
          </c:xVal>
          <c:yVal>
            <c:numRef>
              <c:f>Ver130kHz!$U$214:$U$359</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22.026757883358133</c:v>
                </c:pt>
                <c:pt idx="57">
                  <c:v>22.303606436933268</c:v>
                </c:pt>
                <c:pt idx="58">
                  <c:v>22.58750284716422</c:v>
                </c:pt>
                <c:pt idx="59">
                  <c:v>22.878719714535098</c:v>
                </c:pt>
                <c:pt idx="60">
                  <c:v>23.177543881517952</c:v>
                </c:pt>
                <c:pt idx="61">
                  <c:v>23.48427737497089</c:v>
                </c:pt>
                <c:pt idx="62">
                  <c:v>23.799238424370419</c:v>
                </c:pt>
                <c:pt idx="63">
                  <c:v>24.122762563094199</c:v>
                </c:pt>
                <c:pt idx="64">
                  <c:v>24.455203820765959</c:v>
                </c:pt>
                <c:pt idx="65">
                  <c:v>24.796936015569976</c:v>
                </c:pt>
                <c:pt idx="66">
                  <c:v>25.148354156452349</c:v>
                </c:pt>
                <c:pt idx="67">
                  <c:v>25.509875966266939</c:v>
                </c:pt>
                <c:pt idx="68">
                  <c:v>25.881943538213928</c:v>
                </c:pt>
                <c:pt idx="69">
                  <c:v>26.265025139381205</c:v>
                </c:pt>
                <c:pt idx="70">
                  <c:v>26.659617176858553</c:v>
                </c:pt>
                <c:pt idx="71">
                  <c:v>27.066246343782272</c:v>
                </c:pt>
                <c:pt idx="72">
                  <c:v>27.485471964818597</c:v>
                </c:pt>
                <c:pt idx="73">
                  <c:v>27.917888563049853</c:v>
                </c:pt>
                <c:pt idx="74">
                  <c:v>28.364128673035488</c:v>
                </c:pt>
                <c:pt idx="75">
                  <c:v>28.824865928039575</c:v>
                </c:pt>
                <c:pt idx="76">
                  <c:v>29.300818453113759</c:v>
                </c:pt>
                <c:pt idx="77">
                  <c:v>29.792752599980972</c:v>
                </c:pt>
                <c:pt idx="78">
                  <c:v>30.301487064575266</c:v>
                </c:pt>
                <c:pt idx="79">
                  <c:v>30.82789743377182</c:v>
                </c:pt>
                <c:pt idx="80">
                  <c:v>31.372921214422043</c:v>
                </c:pt>
                <c:pt idx="81">
                  <c:v>31.937563405456757</c:v>
                </c:pt>
                <c:pt idx="82">
                  <c:v>32.522902682729509</c:v>
                </c:pt>
                <c:pt idx="83">
                  <c:v>33.130098276678069</c:v>
                </c:pt>
                <c:pt idx="84">
                  <c:v>33.76039763506995</c:v>
                </c:pt>
                <c:pt idx="85">
                  <c:v>34.415144977413249</c:v>
                </c:pt>
                <c:pt idx="86">
                  <c:v>35.095790864477152</c:v>
                </c:pt>
                <c:pt idx="87">
                  <c:v>35.803902926292089</c:v>
                </c:pt>
                <c:pt idx="88">
                  <c:v>36.54117791561751</c:v>
                </c:pt>
                <c:pt idx="89">
                  <c:v>37.309455281952879</c:v>
                </c:pt>
                <c:pt idx="90">
                  <c:v>38.11073249468371</c:v>
                </c:pt>
                <c:pt idx="91">
                  <c:v>38.947182384091214</c:v>
                </c:pt>
                <c:pt idx="92">
                  <c:v>39.821172817197386</c:v>
                </c:pt>
                <c:pt idx="93">
                  <c:v>40.735289083627144</c:v>
                </c:pt>
                <c:pt idx="94">
                  <c:v>41.692359437188173</c:v>
                </c:pt>
                <c:pt idx="95">
                  <c:v>42.695484324657897</c:v>
                </c:pt>
                <c:pt idx="96">
                  <c:v>43.748069938090964</c:v>
                </c:pt>
                <c:pt idx="97">
                  <c:v>44.853866855630855</c:v>
                </c:pt>
                <c:pt idx="98">
                  <c:v>46.017014694508909</c:v>
                </c:pt>
                <c:pt idx="99">
                  <c:v>47.242093896639055</c:v>
                </c:pt>
                <c:pt idx="100">
                  <c:v>48.534186012366021</c:v>
                </c:pt>
                <c:pt idx="101">
                  <c:v>49.8989441551144</c:v>
                </c:pt>
                <c:pt idx="102">
                  <c:v>51.342675686870059</c:v>
                </c:pt>
                <c:pt idx="103">
                  <c:v>52.872439685431154</c:v>
                </c:pt>
                <c:pt idx="104">
                  <c:v>54.496162371086768</c:v>
                </c:pt>
                <c:pt idx="105">
                  <c:v>56.222774475805288</c:v>
                </c:pt>
                <c:pt idx="106">
                  <c:v>58.062375580623716</c:v>
                </c:pt>
                <c:pt idx="107">
                  <c:v>60.026431806946903</c:v>
                </c:pt>
                <c:pt idx="108">
                  <c:v>62.128015036023768</c:v>
                </c:pt>
                <c:pt idx="109">
                  <c:v>64.38209420344738</c:v>
                </c:pt>
                <c:pt idx="110">
                  <c:v>66.805892391987754</c:v>
                </c:pt>
                <c:pt idx="111">
                  <c:v>69.419327740896691</c:v>
                </c:pt>
                <c:pt idx="112">
                  <c:v>72.245562058330648</c:v>
                </c:pt>
                <c:pt idx="113">
                  <c:v>75.311689133599103</c:v>
                </c:pt>
                <c:pt idx="114">
                  <c:v>78.649606091048369</c:v>
                </c:pt>
                <c:pt idx="115">
                  <c:v>82.297127207845165</c:v>
                </c:pt>
                <c:pt idx="116">
                  <c:v>86.299422736634369</c:v>
                </c:pt>
                <c:pt idx="117">
                  <c:v>90.710899028859785</c:v>
                </c:pt>
                <c:pt idx="118">
                  <c:v>95.597686375321189</c:v>
                </c:pt>
                <c:pt idx="119">
                  <c:v>101.04097678604779</c:v>
                </c:pt>
                <c:pt idx="120">
                  <c:v>107.14157092952043</c:v>
                </c:pt>
                <c:pt idx="121">
                  <c:v>114.02617811080658</c:v>
                </c:pt>
                <c:pt idx="122">
                  <c:v>121.85631195215844</c:v>
                </c:pt>
                <c:pt idx="123">
                  <c:v>130.8411214953272</c:v>
                </c:pt>
                <c:pt idx="124">
                  <c:v>130.84112149532709</c:v>
                </c:pt>
                <c:pt idx="125">
                  <c:v>130.84112149532709</c:v>
                </c:pt>
                <c:pt idx="126">
                  <c:v>130.84112149532709</c:v>
                </c:pt>
                <c:pt idx="127">
                  <c:v>130.84112149532709</c:v>
                </c:pt>
                <c:pt idx="128">
                  <c:v>130.84112149532709</c:v>
                </c:pt>
                <c:pt idx="129">
                  <c:v>130.84112149532709</c:v>
                </c:pt>
                <c:pt idx="130">
                  <c:v>129.20449220567951</c:v>
                </c:pt>
                <c:pt idx="131">
                  <c:v>126.54475036726426</c:v>
                </c:pt>
                <c:pt idx="132">
                  <c:v>123.99230413782595</c:v>
                </c:pt>
                <c:pt idx="133">
                  <c:v>121.54078932945519</c:v>
                </c:pt>
                <c:pt idx="134">
                  <c:v>119.18433531418214</c:v>
                </c:pt>
                <c:pt idx="135">
                  <c:v>114.73531859021355</c:v>
                </c:pt>
                <c:pt idx="136">
                  <c:v>110.606502677496</c:v>
                </c:pt>
                <c:pt idx="137">
                  <c:v>106.7645204831646</c:v>
                </c:pt>
                <c:pt idx="138">
                  <c:v>103.18048538525981</c:v>
                </c:pt>
                <c:pt idx="139">
                  <c:v>99.829263621709487</c:v>
                </c:pt>
                <c:pt idx="140">
                  <c:v>96.688884012275892</c:v>
                </c:pt>
                <c:pt idx="141">
                  <c:v>93.740055694696508</c:v>
                </c:pt>
                <c:pt idx="142">
                  <c:v>90.965771497876759</c:v>
                </c:pt>
                <c:pt idx="143">
                  <c:v>88.350979720802613</c:v>
                </c:pt>
                <c:pt idx="144">
                  <c:v>86.364946098122076</c:v>
                </c:pt>
                <c:pt idx="145">
                  <c:v>86.364946098122076</c:v>
                </c:pt>
              </c:numCache>
            </c:numRef>
          </c:yVal>
          <c:smooth val="1"/>
        </c:ser>
        <c:ser>
          <c:idx val="7"/>
          <c:order val="5"/>
          <c:tx>
            <c:strRef>
              <c:f>Ver130kHz!$W$212</c:f>
              <c:strCache>
                <c:ptCount val="1"/>
                <c:pt idx="0">
                  <c:v>Peak at 135VAC </c:v>
                </c:pt>
              </c:strCache>
            </c:strRef>
          </c:tx>
          <c:spPr>
            <a:ln>
              <a:solidFill>
                <a:srgbClr val="008000"/>
              </a:solidFill>
            </a:ln>
          </c:spPr>
          <c:marker>
            <c:symbol val="none"/>
          </c:marker>
          <c:xVal>
            <c:numRef>
              <c:f>Ver130kHz!$Z$214:$Z$359</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4.6659984042518658</c:v>
                </c:pt>
                <c:pt idx="57">
                  <c:v>4.7946270126310253</c:v>
                </c:pt>
                <c:pt idx="58">
                  <c:v>4.9270512263163555</c:v>
                </c:pt>
                <c:pt idx="59">
                  <c:v>5.0634178536063903</c:v>
                </c:pt>
                <c:pt idx="60">
                  <c:v>5.2038813727861086</c:v>
                </c:pt>
                <c:pt idx="61">
                  <c:v>5.3486044396530383</c:v>
                </c:pt>
                <c:pt idx="62">
                  <c:v>5.4977584358837088</c:v>
                </c:pt>
                <c:pt idx="63">
                  <c:v>5.6515240621266782</c:v>
                </c:pt>
                <c:pt idx="64">
                  <c:v>5.8100919801368613</c:v>
                </c:pt>
                <c:pt idx="65">
                  <c:v>5.9736635087482002</c:v>
                </c:pt>
                <c:pt idx="66">
                  <c:v>6.1424513790256245</c:v>
                </c:pt>
                <c:pt idx="67">
                  <c:v>6.3166805545513975</c:v>
                </c:pt>
                <c:pt idx="68">
                  <c:v>6.4965891234959194</c:v>
                </c:pt>
                <c:pt idx="69">
                  <c:v>6.6824292699103633</c:v>
                </c:pt>
                <c:pt idx="70">
                  <c:v>6.8744683325724552</c:v>
                </c:pt>
                <c:pt idx="71">
                  <c:v>7.0729899607333753</c:v>
                </c:pt>
                <c:pt idx="72">
                  <c:v>7.278295377271907</c:v>
                </c:pt>
                <c:pt idx="73">
                  <c:v>7.4907047610844222</c:v>
                </c:pt>
                <c:pt idx="74">
                  <c:v>7.7105587620517904</c:v>
                </c:pt>
                <c:pt idx="75">
                  <c:v>7.9382201636578982</c:v>
                </c:pt>
                <c:pt idx="76">
                  <c:v>8.1740757103258552</c:v>
                </c:pt>
                <c:pt idx="77">
                  <c:v>8.4185381188301402</c:v>
                </c:pt>
                <c:pt idx="78">
                  <c:v>8.6720482957872136</c:v>
                </c:pt>
                <c:pt idx="79">
                  <c:v>8.935077786285424</c:v>
                </c:pt>
                <c:pt idx="80">
                  <c:v>9.2081314822590965</c:v>
                </c:pt>
                <c:pt idx="81">
                  <c:v>9.4917506233305389</c:v>
                </c:pt>
                <c:pt idx="82">
                  <c:v>9.7865161276417272</c:v>
                </c:pt>
                <c:pt idx="83">
                  <c:v>10.093052295801424</c:v>
                </c:pt>
                <c:pt idx="84">
                  <c:v>10.412030937637311</c:v>
                </c:pt>
                <c:pt idx="85">
                  <c:v>10.744175979152253</c:v>
                </c:pt>
                <c:pt idx="86">
                  <c:v>11.090268616165266</c:v>
                </c:pt>
                <c:pt idx="87">
                  <c:v>11.451153091848713</c:v>
                </c:pt>
                <c:pt idx="88">
                  <c:v>11.827743188092837</c:v>
                </c:pt>
                <c:pt idx="89">
                  <c:v>12.221029535754868</c:v>
                </c:pt>
                <c:pt idx="90">
                  <c:v>12.632087866900424</c:v>
                </c:pt>
                <c:pt idx="91">
                  <c:v>13.062088353760236</c:v>
                </c:pt>
                <c:pt idx="92">
                  <c:v>13.512306205106551</c:v>
                </c:pt>
                <c:pt idx="93">
                  <c:v>13.984133722102321</c:v>
                </c:pt>
                <c:pt idx="94">
                  <c:v>14.479094053654226</c:v>
                </c:pt>
                <c:pt idx="95">
                  <c:v>14.998856937501628</c:v>
                </c:pt>
                <c:pt idx="96">
                  <c:v>15.545256769726608</c:v>
                </c:pt>
                <c:pt idx="97">
                  <c:v>16.120313414664913</c:v>
                </c:pt>
                <c:pt idx="98">
                  <c:v>16.726256252665241</c:v>
                </c:pt>
                <c:pt idx="99">
                  <c:v>17.365552069089734</c:v>
                </c:pt>
                <c:pt idx="100">
                  <c:v>18.040937519973536</c:v>
                </c:pt>
                <c:pt idx="101">
                  <c:v>18.755457075197171</c:v>
                </c:pt>
                <c:pt idx="102">
                  <c:v>19.512507548542541</c:v>
                </c:pt>
                <c:pt idx="103">
                  <c:v>20.315890588433557</c:v>
                </c:pt>
                <c:pt idx="104">
                  <c:v>21.169874840680745</c:v>
                </c:pt>
                <c:pt idx="105">
                  <c:v>22.079269928308882</c:v>
                </c:pt>
                <c:pt idx="106">
                  <c:v>23.049514955040749</c:v>
                </c:pt>
                <c:pt idx="107">
                  <c:v>24.086784971444292</c:v>
                </c:pt>
                <c:pt idx="108">
                  <c:v>25.198119805974194</c:v>
                </c:pt>
                <c:pt idx="109">
                  <c:v>26.391580940885202</c:v>
                </c:pt>
                <c:pt idx="110">
                  <c:v>27.676443823670464</c:v>
                </c:pt>
                <c:pt idx="111">
                  <c:v>29.063435317648199</c:v>
                </c:pt>
                <c:pt idx="112">
                  <c:v>30.565029155788942</c:v>
                </c:pt>
                <c:pt idx="113">
                  <c:v>32.195816629529105</c:v>
                </c:pt>
                <c:pt idx="114">
                  <c:v>33.972975854192697</c:v>
                </c:pt>
                <c:pt idx="115">
                  <c:v>35.916871612730354</c:v>
                </c:pt>
                <c:pt idx="116">
                  <c:v>38.051830230008299</c:v>
                </c:pt>
                <c:pt idx="117">
                  <c:v>40.407152108448763</c:v>
                </c:pt>
                <c:pt idx="118">
                  <c:v>43.018451548244869</c:v>
                </c:pt>
                <c:pt idx="119">
                  <c:v>45.929454300236202</c:v>
                </c:pt>
                <c:pt idx="120">
                  <c:v>49.194446308481503</c:v>
                </c:pt>
                <c:pt idx="121">
                  <c:v>52.881666547486333</c:v>
                </c:pt>
                <c:pt idx="122">
                  <c:v>57.078097768401499</c:v>
                </c:pt>
                <c:pt idx="123">
                  <c:v>61.896376656593809</c:v>
                </c:pt>
                <c:pt idx="124">
                  <c:v>63.124930938112406</c:v>
                </c:pt>
                <c:pt idx="125">
                  <c:v>64.365558218154291</c:v>
                </c:pt>
                <c:pt idx="126">
                  <c:v>65.618258496719321</c:v>
                </c:pt>
                <c:pt idx="127">
                  <c:v>66.88303177380763</c:v>
                </c:pt>
                <c:pt idx="128">
                  <c:v>68.15987804941912</c:v>
                </c:pt>
                <c:pt idx="129">
                  <c:v>71.404813106986893</c:v>
                </c:pt>
                <c:pt idx="130">
                  <c:v>74.725204405324774</c:v>
                </c:pt>
                <c:pt idx="131">
                  <c:v>78.12105194443275</c:v>
                </c:pt>
                <c:pt idx="132">
                  <c:v>81.592355724310778</c:v>
                </c:pt>
                <c:pt idx="133">
                  <c:v>84.23316090562281</c:v>
                </c:pt>
                <c:pt idx="134">
                  <c:v>86.121254890091976</c:v>
                </c:pt>
                <c:pt idx="135">
                  <c:v>89.898311653140183</c:v>
                </c:pt>
                <c:pt idx="136">
                  <c:v>93.676422994235864</c:v>
                </c:pt>
                <c:pt idx="137">
                  <c:v>97.455479425808065</c:v>
                </c:pt>
                <c:pt idx="138">
                  <c:v>101.23538610949593</c:v>
                </c:pt>
                <c:pt idx="139">
                  <c:v>105.01606048540654</c:v>
                </c:pt>
                <c:pt idx="140">
                  <c:v>108.79743034733822</c:v>
                </c:pt>
                <c:pt idx="141">
                  <c:v>112.57943226907196</c:v>
                </c:pt>
                <c:pt idx="142">
                  <c:v>116.36201030922923</c:v>
                </c:pt>
                <c:pt idx="143">
                  <c:v>120.14511493881734</c:v>
                </c:pt>
                <c:pt idx="144">
                  <c:v>123.17194804658841</c:v>
                </c:pt>
                <c:pt idx="145">
                  <c:v>123.17194804658841</c:v>
                </c:pt>
              </c:numCache>
            </c:numRef>
          </c:xVal>
          <c:yVal>
            <c:numRef>
              <c:f>Ver130kHz!$Y$214:$Y$359</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22.026757883358133</c:v>
                </c:pt>
                <c:pt idx="57">
                  <c:v>22.303606436933268</c:v>
                </c:pt>
                <c:pt idx="58">
                  <c:v>22.58750284716422</c:v>
                </c:pt>
                <c:pt idx="59">
                  <c:v>22.878719714535098</c:v>
                </c:pt>
                <c:pt idx="60">
                  <c:v>23.177543881517952</c:v>
                </c:pt>
                <c:pt idx="61">
                  <c:v>23.48427737497089</c:v>
                </c:pt>
                <c:pt idx="62">
                  <c:v>23.799238424370419</c:v>
                </c:pt>
                <c:pt idx="63">
                  <c:v>24.122762563094199</c:v>
                </c:pt>
                <c:pt idx="64">
                  <c:v>24.455203820765959</c:v>
                </c:pt>
                <c:pt idx="65">
                  <c:v>24.796936015569976</c:v>
                </c:pt>
                <c:pt idx="66">
                  <c:v>25.148354156452349</c:v>
                </c:pt>
                <c:pt idx="67">
                  <c:v>25.509875966266939</c:v>
                </c:pt>
                <c:pt idx="68">
                  <c:v>25.881943538213928</c:v>
                </c:pt>
                <c:pt idx="69">
                  <c:v>26.265025139381205</c:v>
                </c:pt>
                <c:pt idx="70">
                  <c:v>26.659617176858553</c:v>
                </c:pt>
                <c:pt idx="71">
                  <c:v>27.066246343782272</c:v>
                </c:pt>
                <c:pt idx="72">
                  <c:v>27.485471964818597</c:v>
                </c:pt>
                <c:pt idx="73">
                  <c:v>27.917888563049853</c:v>
                </c:pt>
                <c:pt idx="74">
                  <c:v>28.364128673035488</c:v>
                </c:pt>
                <c:pt idx="75">
                  <c:v>28.824865928039575</c:v>
                </c:pt>
                <c:pt idx="76">
                  <c:v>29.300818453113759</c:v>
                </c:pt>
                <c:pt idx="77">
                  <c:v>29.792752599980972</c:v>
                </c:pt>
                <c:pt idx="78">
                  <c:v>30.301487064575266</c:v>
                </c:pt>
                <c:pt idx="79">
                  <c:v>30.82789743377182</c:v>
                </c:pt>
                <c:pt idx="80">
                  <c:v>31.372921214422043</c:v>
                </c:pt>
                <c:pt idx="81">
                  <c:v>31.937563405456757</c:v>
                </c:pt>
                <c:pt idx="82">
                  <c:v>32.522902682729509</c:v>
                </c:pt>
                <c:pt idx="83">
                  <c:v>33.130098276678069</c:v>
                </c:pt>
                <c:pt idx="84">
                  <c:v>33.76039763506995</c:v>
                </c:pt>
                <c:pt idx="85">
                  <c:v>34.415144977413249</c:v>
                </c:pt>
                <c:pt idx="86">
                  <c:v>35.095790864477152</c:v>
                </c:pt>
                <c:pt idx="87">
                  <c:v>35.803902926292089</c:v>
                </c:pt>
                <c:pt idx="88">
                  <c:v>36.54117791561751</c:v>
                </c:pt>
                <c:pt idx="89">
                  <c:v>37.309455281952879</c:v>
                </c:pt>
                <c:pt idx="90">
                  <c:v>38.11073249468371</c:v>
                </c:pt>
                <c:pt idx="91">
                  <c:v>38.947182384091214</c:v>
                </c:pt>
                <c:pt idx="92">
                  <c:v>39.821172817197386</c:v>
                </c:pt>
                <c:pt idx="93">
                  <c:v>40.735289083627144</c:v>
                </c:pt>
                <c:pt idx="94">
                  <c:v>41.692359437188173</c:v>
                </c:pt>
                <c:pt idx="95">
                  <c:v>42.695484324657897</c:v>
                </c:pt>
                <c:pt idx="96">
                  <c:v>43.748069938090964</c:v>
                </c:pt>
                <c:pt idx="97">
                  <c:v>44.853866855630855</c:v>
                </c:pt>
                <c:pt idx="98">
                  <c:v>46.017014694508909</c:v>
                </c:pt>
                <c:pt idx="99">
                  <c:v>47.242093896639055</c:v>
                </c:pt>
                <c:pt idx="100">
                  <c:v>48.534186012366021</c:v>
                </c:pt>
                <c:pt idx="101">
                  <c:v>49.8989441551144</c:v>
                </c:pt>
                <c:pt idx="102">
                  <c:v>51.342675686870059</c:v>
                </c:pt>
                <c:pt idx="103">
                  <c:v>52.872439685431154</c:v>
                </c:pt>
                <c:pt idx="104">
                  <c:v>54.496162371086768</c:v>
                </c:pt>
                <c:pt idx="105">
                  <c:v>56.222774475805288</c:v>
                </c:pt>
                <c:pt idx="106">
                  <c:v>58.062375580623716</c:v>
                </c:pt>
                <c:pt idx="107">
                  <c:v>60.026431806946903</c:v>
                </c:pt>
                <c:pt idx="108">
                  <c:v>62.128015036023768</c:v>
                </c:pt>
                <c:pt idx="109">
                  <c:v>64.38209420344738</c:v>
                </c:pt>
                <c:pt idx="110">
                  <c:v>66.805892391987754</c:v>
                </c:pt>
                <c:pt idx="111">
                  <c:v>69.419327740896691</c:v>
                </c:pt>
                <c:pt idx="112">
                  <c:v>72.245562058330648</c:v>
                </c:pt>
                <c:pt idx="113">
                  <c:v>75.311689133599103</c:v>
                </c:pt>
                <c:pt idx="114">
                  <c:v>78.649606091048369</c:v>
                </c:pt>
                <c:pt idx="115">
                  <c:v>82.297127207845165</c:v>
                </c:pt>
                <c:pt idx="116">
                  <c:v>86.299422736634369</c:v>
                </c:pt>
                <c:pt idx="117">
                  <c:v>90.710899028859785</c:v>
                </c:pt>
                <c:pt idx="118">
                  <c:v>95.597686375321189</c:v>
                </c:pt>
                <c:pt idx="119">
                  <c:v>101.04097678604779</c:v>
                </c:pt>
                <c:pt idx="120">
                  <c:v>107.14157092952043</c:v>
                </c:pt>
                <c:pt idx="121">
                  <c:v>114.02617811080658</c:v>
                </c:pt>
                <c:pt idx="122">
                  <c:v>121.85631195215844</c:v>
                </c:pt>
                <c:pt idx="123">
                  <c:v>130.8411214953272</c:v>
                </c:pt>
                <c:pt idx="124">
                  <c:v>130.84112149532709</c:v>
                </c:pt>
                <c:pt idx="125">
                  <c:v>130.84112149532709</c:v>
                </c:pt>
                <c:pt idx="126">
                  <c:v>130.84112149532709</c:v>
                </c:pt>
                <c:pt idx="127">
                  <c:v>130.84112149532709</c:v>
                </c:pt>
                <c:pt idx="128">
                  <c:v>130.84112149532709</c:v>
                </c:pt>
                <c:pt idx="129">
                  <c:v>130.84112149532709</c:v>
                </c:pt>
                <c:pt idx="130">
                  <c:v>130.84112149532709</c:v>
                </c:pt>
                <c:pt idx="131">
                  <c:v>130.84112149532709</c:v>
                </c:pt>
                <c:pt idx="132">
                  <c:v>130.84112149532709</c:v>
                </c:pt>
                <c:pt idx="133">
                  <c:v>129.44885724445157</c:v>
                </c:pt>
                <c:pt idx="134">
                  <c:v>126.94944205653628</c:v>
                </c:pt>
                <c:pt idx="135">
                  <c:v>122.22940009538897</c:v>
                </c:pt>
                <c:pt idx="136">
                  <c:v>117.847762986075</c:v>
                </c:pt>
                <c:pt idx="137">
                  <c:v>113.76939712674979</c:v>
                </c:pt>
                <c:pt idx="138">
                  <c:v>109.96386971870679</c:v>
                </c:pt>
                <c:pt idx="139">
                  <c:v>106.40468801593499</c:v>
                </c:pt>
                <c:pt idx="140">
                  <c:v>103.06868168124441</c:v>
                </c:pt>
                <c:pt idx="141">
                  <c:v>99.935497796893699</c:v>
                </c:pt>
                <c:pt idx="142">
                  <c:v>96.98718526486573</c:v>
                </c:pt>
                <c:pt idx="143">
                  <c:v>94.207850665492543</c:v>
                </c:pt>
                <c:pt idx="144">
                  <c:v>92.096503699283005</c:v>
                </c:pt>
                <c:pt idx="145">
                  <c:v>92.096503699283005</c:v>
                </c:pt>
              </c:numCache>
            </c:numRef>
          </c:yVal>
          <c:smooth val="1"/>
        </c:ser>
        <c:dLbls>
          <c:showLegendKey val="0"/>
          <c:showVal val="0"/>
          <c:showCatName val="0"/>
          <c:showSerName val="0"/>
          <c:showPercent val="0"/>
          <c:showBubbleSize val="0"/>
        </c:dLbls>
        <c:axId val="198850432"/>
        <c:axId val="198882816"/>
      </c:scatterChart>
      <c:valAx>
        <c:axId val="198850432"/>
        <c:scaling>
          <c:orientation val="minMax"/>
          <c:max val="80"/>
          <c:min val="0"/>
        </c:scaling>
        <c:delete val="0"/>
        <c:axPos val="b"/>
        <c:majorGridlines/>
        <c:minorGridlines/>
        <c:title>
          <c:tx>
            <c:rich>
              <a:bodyPr/>
              <a:lstStyle/>
              <a:p>
                <a:pPr>
                  <a:defRPr sz="1600"/>
                </a:pPr>
                <a:r>
                  <a:rPr lang="en-US" altLang="zh-TW" sz="1600"/>
                  <a:t>Output</a:t>
                </a:r>
                <a:r>
                  <a:rPr lang="en-US" altLang="zh-TW" sz="1600" baseline="0"/>
                  <a:t> Power</a:t>
                </a:r>
                <a:r>
                  <a:rPr lang="en-US" altLang="zh-TW" sz="1600"/>
                  <a:t> (W)</a:t>
                </a:r>
                <a:endParaRPr lang="zh-TW" altLang="en-US" sz="1600"/>
              </a:p>
            </c:rich>
          </c:tx>
          <c:layout>
            <c:manualLayout>
              <c:xMode val="edge"/>
              <c:yMode val="edge"/>
              <c:x val="0.40986321760487143"/>
              <c:y val="0.92453191323246353"/>
            </c:manualLayout>
          </c:layout>
          <c:overlay val="0"/>
        </c:title>
        <c:numFmt formatCode="General" sourceLinked="0"/>
        <c:majorTickMark val="none"/>
        <c:minorTickMark val="in"/>
        <c:tickLblPos val="nextTo"/>
        <c:txPr>
          <a:bodyPr/>
          <a:lstStyle/>
          <a:p>
            <a:pPr>
              <a:defRPr sz="1200"/>
            </a:pPr>
            <a:endParaRPr lang="en-US"/>
          </a:p>
        </c:txPr>
        <c:crossAx val="198882816"/>
        <c:crosses val="autoZero"/>
        <c:crossBetween val="midCat"/>
        <c:majorUnit val="5"/>
        <c:minorUnit val="5"/>
      </c:valAx>
      <c:valAx>
        <c:axId val="198882816"/>
        <c:scaling>
          <c:orientation val="minMax"/>
        </c:scaling>
        <c:delete val="0"/>
        <c:axPos val="l"/>
        <c:majorGridlines/>
        <c:title>
          <c:tx>
            <c:rich>
              <a:bodyPr/>
              <a:lstStyle/>
              <a:p>
                <a:pPr>
                  <a:defRPr sz="1600"/>
                </a:pPr>
                <a:r>
                  <a:rPr lang="en-US" altLang="zh-TW" sz="1600"/>
                  <a:t>FSW (KHz)</a:t>
                </a:r>
                <a:endParaRPr lang="zh-TW" altLang="en-US" sz="1600"/>
              </a:p>
            </c:rich>
          </c:tx>
          <c:layout>
            <c:manualLayout>
              <c:xMode val="edge"/>
              <c:yMode val="edge"/>
              <c:x val="1.3263270709367619E-2"/>
              <c:y val="0.42225663411068759"/>
            </c:manualLayout>
          </c:layout>
          <c:overlay val="0"/>
        </c:title>
        <c:numFmt formatCode="#,##0_);\(#,##0\)" sourceLinked="0"/>
        <c:majorTickMark val="none"/>
        <c:minorTickMark val="none"/>
        <c:tickLblPos val="nextTo"/>
        <c:txPr>
          <a:bodyPr/>
          <a:lstStyle/>
          <a:p>
            <a:pPr>
              <a:defRPr sz="1200"/>
            </a:pPr>
            <a:endParaRPr lang="en-US"/>
          </a:p>
        </c:txPr>
        <c:crossAx val="198850432"/>
        <c:crosses val="autoZero"/>
        <c:crossBetween val="midCat"/>
        <c:majorUnit val="10"/>
      </c:valAx>
    </c:plotArea>
    <c:legend>
      <c:legendPos val="r"/>
      <c:layout>
        <c:manualLayout>
          <c:xMode val="edge"/>
          <c:yMode val="edge"/>
          <c:x val="0.14708297729588526"/>
          <c:y val="9.5312543819167525E-2"/>
          <c:w val="0.23519444995813785"/>
          <c:h val="0.20577795846510483"/>
        </c:manualLayout>
      </c:layout>
      <c:overlay val="1"/>
      <c:spPr>
        <a:solidFill>
          <a:schemeClr val="bg1">
            <a:alpha val="80000"/>
          </a:schemeClr>
        </a:solidFill>
        <a:ln>
          <a:noFill/>
        </a:ln>
      </c:spPr>
      <c:txPr>
        <a:bodyPr/>
        <a:lstStyle/>
        <a:p>
          <a:pPr>
            <a:defRPr sz="1000"/>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a:pPr>
            <a:r>
              <a:rPr lang="en-US" sz="1800"/>
              <a:t>Frequency Curve (with ZVS)</a:t>
            </a:r>
          </a:p>
        </c:rich>
      </c:tx>
      <c:layout>
        <c:manualLayout>
          <c:xMode val="edge"/>
          <c:yMode val="edge"/>
          <c:x val="0.39616481276782517"/>
          <c:y val="1.0557943812061031E-2"/>
        </c:manualLayout>
      </c:layout>
      <c:overlay val="0"/>
    </c:title>
    <c:autoTitleDeleted val="0"/>
    <c:plotArea>
      <c:layout>
        <c:manualLayout>
          <c:layoutTarget val="inner"/>
          <c:xMode val="edge"/>
          <c:yMode val="edge"/>
          <c:x val="0.13034994274335077"/>
          <c:y val="8.4779432384545772E-2"/>
          <c:w val="0.82712210361229599"/>
          <c:h val="0.77794459280315087"/>
        </c:manualLayout>
      </c:layout>
      <c:scatterChart>
        <c:scatterStyle val="smoothMarker"/>
        <c:varyColors val="0"/>
        <c:ser>
          <c:idx val="2"/>
          <c:order val="0"/>
          <c:tx>
            <c:v>Upper Bound</c:v>
          </c:tx>
          <c:spPr>
            <a:ln>
              <a:solidFill>
                <a:srgbClr val="FFC000"/>
              </a:solidFill>
              <a:prstDash val="lgDash"/>
            </a:ln>
          </c:spPr>
          <c:marker>
            <c:symbol val="none"/>
          </c:marker>
          <c:xVal>
            <c:numRef>
              <c:f>Ver130kHz!$F$62:$F$207</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4.6603301964424659</c:v>
                </c:pt>
                <c:pt idx="57">
                  <c:v>4.7293604546039614</c:v>
                </c:pt>
                <c:pt idx="58">
                  <c:v>4.8293630089276816</c:v>
                </c:pt>
                <c:pt idx="59">
                  <c:v>4.9617575573938515</c:v>
                </c:pt>
                <c:pt idx="60">
                  <c:v>5.0980640397285484</c:v>
                </c:pt>
                <c:pt idx="61">
                  <c:v>5.2384345693729584</c:v>
                </c:pt>
                <c:pt idx="62">
                  <c:v>5.3830292497965582</c:v>
                </c:pt>
                <c:pt idx="63">
                  <c:v>5.5320167060908236</c:v>
                </c:pt>
                <c:pt idx="64">
                  <c:v>5.685574659577024</c:v>
                </c:pt>
                <c:pt idx="65">
                  <c:v>5.8438905495441418</c:v>
                </c:pt>
                <c:pt idx="66">
                  <c:v>6.0071622066893831</c:v>
                </c:pt>
                <c:pt idx="67">
                  <c:v>6.1755985833478757</c:v>
                </c:pt>
                <c:pt idx="68">
                  <c:v>6.3494205461781901</c:v>
                </c:pt>
                <c:pt idx="69">
                  <c:v>6.5288617376258768</c:v>
                </c:pt>
                <c:pt idx="70">
                  <c:v>6.7141695132293382</c:v>
                </c:pt>
                <c:pt idx="71">
                  <c:v>6.9056059626740511</c:v>
                </c:pt>
                <c:pt idx="72">
                  <c:v>7.1034490234570651</c:v>
                </c:pt>
                <c:pt idx="73">
                  <c:v>7.3079936971120478</c:v>
                </c:pt>
                <c:pt idx="74">
                  <c:v>7.5195533791859281</c:v>
                </c:pt>
                <c:pt idx="75">
                  <c:v>7.7384613155758082</c:v>
                </c:pt>
                <c:pt idx="76">
                  <c:v>7.96507219945783</c:v>
                </c:pt>
                <c:pt idx="77">
                  <c:v>8.1997639249015855</c:v>
                </c:pt>
                <c:pt idx="78">
                  <c:v>8.4429395154037437</c:v>
                </c:pt>
                <c:pt idx="79">
                  <c:v>8.6950292480410987</c:v>
                </c:pt>
                <c:pt idx="80">
                  <c:v>8.95649299679053</c:v>
                </c:pt>
                <c:pt idx="81">
                  <c:v>9.2278228218596858</c:v>
                </c:pt>
                <c:pt idx="82">
                  <c:v>9.5095458356968283</c:v>
                </c:pt>
                <c:pt idx="83">
                  <c:v>9.8022273807966176</c:v>
                </c:pt>
                <c:pt idx="84">
                  <c:v>10.106474559606609</c:v>
                </c:pt>
                <c:pt idx="85">
                  <c:v>10.422940162905803</c:v>
                </c:pt>
                <c:pt idx="86">
                  <c:v>10.752327050139634</c:v>
                </c:pt>
                <c:pt idx="87">
                  <c:v>11.0953930435607</c:v>
                </c:pt>
                <c:pt idx="88">
                  <c:v>11.452956407890714</c:v>
                </c:pt>
                <c:pt idx="89">
                  <c:v>11.825901998891272</c:v>
                </c:pt>
                <c:pt idx="90">
                  <c:v>12.215188178085626</c:v>
                </c:pt>
                <c:pt idx="91">
                  <c:v>12.621854607372008</c:v>
                </c:pt>
                <c:pt idx="92">
                  <c:v>13.047031056985062</c:v>
                </c:pt>
                <c:pt idx="93">
                  <c:v>13.491947383907958</c:v>
                </c:pt>
                <c:pt idx="94">
                  <c:v>13.957944866303743</c:v>
                </c:pt>
                <c:pt idx="95">
                  <c:v>14.446489113937428</c:v>
                </c:pt>
                <c:pt idx="96">
                  <c:v>14.95918481630903</c:v>
                </c:pt>
                <c:pt idx="97">
                  <c:v>15.497792641096957</c:v>
                </c:pt>
                <c:pt idx="98">
                  <c:v>16.064248657794831</c:v>
                </c:pt>
                <c:pt idx="99">
                  <c:v>16.660686738026037</c:v>
                </c:pt>
                <c:pt idx="100">
                  <c:v>17.289464478692167</c:v>
                </c:pt>
                <c:pt idx="101">
                  <c:v>17.953193311716685</c:v>
                </c:pt>
                <c:pt idx="102">
                  <c:v>18.654773611029778</c:v>
                </c:pt>
                <c:pt idx="103">
                  <c:v>19.397435791930707</c:v>
                </c:pt>
                <c:pt idx="104">
                  <c:v>20.184788631074792</c:v>
                </c:pt>
                <c:pt idx="105">
                  <c:v>21.020876331726306</c:v>
                </c:pt>
                <c:pt idx="106">
                  <c:v>21.910246238281882</c:v>
                </c:pt>
                <c:pt idx="107">
                  <c:v>22.858029593032644</c:v>
                </c:pt>
                <c:pt idx="108">
                  <c:v>23.870038363049069</c:v>
                </c:pt>
                <c:pt idx="109">
                  <c:v>24.952881996006152</c:v>
                </c:pt>
                <c:pt idx="110">
                  <c:v>26.114109060346379</c:v>
                </c:pt>
                <c:pt idx="111">
                  <c:v>27.362380185244675</c:v>
                </c:pt>
                <c:pt idx="112">
                  <c:v>28.707680678381035</c:v>
                </c:pt>
                <c:pt idx="113">
                  <c:v>30.161583864325813</c:v>
                </c:pt>
                <c:pt idx="114">
                  <c:v>31.737579844165246</c:v>
                </c:pt>
                <c:pt idx="115">
                  <c:v>33.451489456766112</c:v>
                </c:pt>
                <c:pt idx="116">
                  <c:v>35.321990365709645</c:v>
                </c:pt>
                <c:pt idx="117">
                  <c:v>37.371292379168061</c:v>
                </c:pt>
                <c:pt idx="118">
                  <c:v>39.626013841209165</c:v>
                </c:pt>
                <c:pt idx="119">
                  <c:v>42.118332586928418</c:v>
                </c:pt>
                <c:pt idx="120">
                  <c:v>44.887517344217649</c:v>
                </c:pt>
                <c:pt idx="121">
                  <c:v>47.981994851658079</c:v>
                </c:pt>
                <c:pt idx="122">
                  <c:v>51.462184867882151</c:v>
                </c:pt>
                <c:pt idx="123">
                  <c:v>55.404457835320635</c:v>
                </c:pt>
                <c:pt idx="124">
                  <c:v>56.504156841394014</c:v>
                </c:pt>
                <c:pt idx="125">
                  <c:v>57.61466258566049</c:v>
                </c:pt>
                <c:pt idx="126">
                  <c:v>58.735975068119956</c:v>
                </c:pt>
                <c:pt idx="127">
                  <c:v>59.868094288772497</c:v>
                </c:pt>
                <c:pt idx="128">
                  <c:v>61.011020247618049</c:v>
                </c:pt>
                <c:pt idx="129">
                  <c:v>63.915614624326452</c:v>
                </c:pt>
                <c:pt idx="130">
                  <c:v>66.887751114741334</c:v>
                </c:pt>
                <c:pt idx="131">
                  <c:v>69.927429718862697</c:v>
                </c:pt>
                <c:pt idx="132">
                  <c:v>73.034650436690498</c:v>
                </c:pt>
                <c:pt idx="133">
                  <c:v>76.209413268224822</c:v>
                </c:pt>
                <c:pt idx="134">
                  <c:v>79.451718213465554</c:v>
                </c:pt>
                <c:pt idx="135">
                  <c:v>86.138954445066474</c:v>
                </c:pt>
                <c:pt idx="136">
                  <c:v>93.096359131493273</c:v>
                </c:pt>
                <c:pt idx="137">
                  <c:v>100.32393227274588</c:v>
                </c:pt>
                <c:pt idx="138">
                  <c:v>107.82167386882436</c:v>
                </c:pt>
                <c:pt idx="139">
                  <c:v>115.58958391972878</c:v>
                </c:pt>
                <c:pt idx="140">
                  <c:v>123.62766242545905</c:v>
                </c:pt>
                <c:pt idx="141">
                  <c:v>131.93590938601517</c:v>
                </c:pt>
                <c:pt idx="142">
                  <c:v>140.51432480139709</c:v>
                </c:pt>
                <c:pt idx="143">
                  <c:v>149.362908671605</c:v>
                </c:pt>
                <c:pt idx="144">
                  <c:v>156.63629705524593</c:v>
                </c:pt>
                <c:pt idx="145">
                  <c:v>156.63629705524593</c:v>
                </c:pt>
              </c:numCache>
            </c:numRef>
          </c:xVal>
          <c:yVal>
            <c:numRef>
              <c:f>Ver130kHz!$E$62:$E$207</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c:v>
                </c:pt>
                <c:pt idx="57">
                  <c:v>22</c:v>
                </c:pt>
                <c:pt idx="58">
                  <c:v>22.13966238700916</c:v>
                </c:pt>
                <c:pt idx="59">
                  <c:v>22.419374369080995</c:v>
                </c:pt>
                <c:pt idx="60">
                  <c:v>22.706244536918611</c:v>
                </c:pt>
                <c:pt idx="61">
                  <c:v>23.000551232719516</c:v>
                </c:pt>
                <c:pt idx="62">
                  <c:v>23.30258741909882</c:v>
                </c:pt>
                <c:pt idx="63">
                  <c:v>23.612661651816953</c:v>
                </c:pt>
                <c:pt idx="64">
                  <c:v>23.93109913121598</c:v>
                </c:pt>
                <c:pt idx="65">
                  <c:v>24.258242839896184</c:v>
                </c:pt>
                <c:pt idx="66">
                  <c:v>24.594454774999726</c:v>
                </c:pt>
                <c:pt idx="67">
                  <c:v>24.940117284409098</c:v>
                </c:pt>
                <c:pt idx="68">
                  <c:v>25.295634517229232</c:v>
                </c:pt>
                <c:pt idx="69">
                  <c:v>25.661434000121922</c:v>
                </c:pt>
                <c:pt idx="70">
                  <c:v>26.037968352419099</c:v>
                </c:pt>
                <c:pt idx="71">
                  <c:v>26.425717154481525</c:v>
                </c:pt>
                <c:pt idx="72">
                  <c:v>26.82518898551886</c:v>
                </c:pt>
                <c:pt idx="73">
                  <c:v>27.236923649078452</c:v>
                </c:pt>
                <c:pt idx="74">
                  <c:v>27.661494606680478</c:v>
                </c:pt>
                <c:pt idx="75">
                  <c:v>28.099511642671327</c:v>
                </c:pt>
                <c:pt idx="76">
                  <c:v>28.551623786336776</c:v>
                </c:pt>
                <c:pt idx="77">
                  <c:v>29.018522520723526</c:v>
                </c:pt>
                <c:pt idx="78">
                  <c:v>29.50094531153373</c:v>
                </c:pt>
                <c:pt idx="79">
                  <c:v>29.999679493970383</c:v>
                </c:pt>
                <c:pt idx="80">
                  <c:v>30.515566560621533</c:v>
                </c:pt>
                <c:pt idx="81">
                  <c:v>31.049506899503115</c:v>
                </c:pt>
                <c:pt idx="82">
                  <c:v>31.602465038378355</c:v>
                </c:pt>
                <c:pt idx="83">
                  <c:v>32.175475459611732</c:v>
                </c:pt>
                <c:pt idx="84">
                  <c:v>32.769649059308499</c:v>
                </c:pt>
                <c:pt idx="85">
                  <c:v>33.386180335591405</c:v>
                </c:pt>
                <c:pt idx="86">
                  <c:v>34.026355403882292</c:v>
                </c:pt>
                <c:pt idx="87">
                  <c:v>34.691560952362494</c:v>
                </c:pt>
                <c:pt idx="88">
                  <c:v>35.383294268839116</c:v>
                </c:pt>
                <c:pt idx="89">
                  <c:v>36.103174491602921</c:v>
                </c:pt>
                <c:pt idx="90">
                  <c:v>36.852955262214522</c:v>
                </c:pt>
                <c:pt idx="91">
                  <c:v>37.634538988345213</c:v>
                </c:pt>
                <c:pt idx="92">
                  <c:v>38.449992960875683</c:v>
                </c:pt>
                <c:pt idx="93">
                  <c:v>39.301567612723964</c:v>
                </c:pt>
                <c:pt idx="94">
                  <c:v>40.191717258962171</c:v>
                </c:pt>
                <c:pt idx="95">
                  <c:v>41.123123720733169</c:v>
                </c:pt>
                <c:pt idx="96">
                  <c:v>42.098723311871375</c:v>
                </c:pt>
                <c:pt idx="97">
                  <c:v>43.121737760232506</c:v>
                </c:pt>
                <c:pt idx="98">
                  <c:v>44.195709749705507</c:v>
                </c:pt>
                <c:pt idx="99">
                  <c:v>45.324543909047897</c:v>
                </c:pt>
                <c:pt idx="100">
                  <c:v>46.512554246918732</c:v>
                </c:pt>
                <c:pt idx="101">
                  <c:v>47.764519247681754</c:v>
                </c:pt>
                <c:pt idx="102">
                  <c:v>49.085746111325612</c:v>
                </c:pt>
                <c:pt idx="103">
                  <c:v>50.482145958434067</c:v>
                </c:pt>
                <c:pt idx="104">
                  <c:v>51.96032224769386</c:v>
                </c:pt>
                <c:pt idx="105">
                  <c:v>53.527675195778677</c:v>
                </c:pt>
                <c:pt idx="106">
                  <c:v>55.192525683620033</c:v>
                </c:pt>
                <c:pt idx="107">
                  <c:v>56.964263027797323</c:v>
                </c:pt>
                <c:pt idx="108">
                  <c:v>58.853522157568847</c:v>
                </c:pt>
                <c:pt idx="109">
                  <c:v>60.872397258536111</c:v>
                </c:pt>
                <c:pt idx="110">
                  <c:v>63.03470095049105</c:v>
                </c:pt>
                <c:pt idx="111">
                  <c:v>65.3562807386743</c:v>
                </c:pt>
                <c:pt idx="112">
                  <c:v>67.855408068796365</c:v>
                </c:pt>
                <c:pt idx="113">
                  <c:v>70.553260192310503</c:v>
                </c:pt>
                <c:pt idx="114">
                  <c:v>73.474521741631193</c:v>
                </c:pt>
                <c:pt idx="115">
                  <c:v>76.6481422101254</c:v>
                </c:pt>
                <c:pt idx="116">
                  <c:v>80.108298603355721</c:v>
                </c:pt>
                <c:pt idx="117">
                  <c:v>83.895631161689735</c:v>
                </c:pt>
                <c:pt idx="118">
                  <c:v>88.058847010047828</c:v>
                </c:pt>
                <c:pt idx="119">
                  <c:v>92.656826213608824</c:v>
                </c:pt>
                <c:pt idx="120">
                  <c:v>97.761423987333501</c:v>
                </c:pt>
                <c:pt idx="121">
                  <c:v>103.46125317654224</c:v>
                </c:pt>
                <c:pt idx="122">
                  <c:v>109.86687185065799</c:v>
                </c:pt>
                <c:pt idx="123">
                  <c:v>117.11802516701381</c:v>
                </c:pt>
                <c:pt idx="124">
                  <c:v>117.11802516701371</c:v>
                </c:pt>
                <c:pt idx="125">
                  <c:v>117.11802516701371</c:v>
                </c:pt>
                <c:pt idx="126">
                  <c:v>117.11802516701371</c:v>
                </c:pt>
                <c:pt idx="127">
                  <c:v>117.11802516701371</c:v>
                </c:pt>
                <c:pt idx="128">
                  <c:v>117.11802516701371</c:v>
                </c:pt>
                <c:pt idx="129">
                  <c:v>117.11802516701371</c:v>
                </c:pt>
                <c:pt idx="130">
                  <c:v>117.11802516701371</c:v>
                </c:pt>
                <c:pt idx="131">
                  <c:v>117.11802516701371</c:v>
                </c:pt>
                <c:pt idx="132">
                  <c:v>117.11802516701371</c:v>
                </c:pt>
                <c:pt idx="133">
                  <c:v>117.11802516701371</c:v>
                </c:pt>
                <c:pt idx="134">
                  <c:v>117.11802516701371</c:v>
                </c:pt>
                <c:pt idx="135">
                  <c:v>117.11802516701371</c:v>
                </c:pt>
                <c:pt idx="136">
                  <c:v>117.11802516701371</c:v>
                </c:pt>
                <c:pt idx="137">
                  <c:v>117.11802516701371</c:v>
                </c:pt>
                <c:pt idx="138">
                  <c:v>117.11802516701371</c:v>
                </c:pt>
                <c:pt idx="139">
                  <c:v>117.11802516701371</c:v>
                </c:pt>
                <c:pt idx="140">
                  <c:v>117.11802516701371</c:v>
                </c:pt>
                <c:pt idx="141">
                  <c:v>117.11802516701371</c:v>
                </c:pt>
                <c:pt idx="142">
                  <c:v>117.11802516701371</c:v>
                </c:pt>
                <c:pt idx="143">
                  <c:v>117.11802516701371</c:v>
                </c:pt>
                <c:pt idx="144">
                  <c:v>117.11802516701371</c:v>
                </c:pt>
                <c:pt idx="145">
                  <c:v>117.11802516701371</c:v>
                </c:pt>
              </c:numCache>
            </c:numRef>
          </c:yVal>
          <c:smooth val="0"/>
        </c:ser>
        <c:ser>
          <c:idx val="6"/>
          <c:order val="1"/>
          <c:tx>
            <c:strRef>
              <c:f>Ver130kHz!$G$22</c:f>
              <c:strCache>
                <c:ptCount val="1"/>
                <c:pt idx="0">
                  <c:v>VBULK = 65VDC</c:v>
                </c:pt>
              </c:strCache>
            </c:strRef>
          </c:tx>
          <c:spPr>
            <a:ln>
              <a:solidFill>
                <a:srgbClr val="0000CC"/>
              </a:solidFill>
              <a:prstDash val="sysDot"/>
            </a:ln>
          </c:spPr>
          <c:marker>
            <c:symbol val="none"/>
          </c:marker>
          <c:xVal>
            <c:numRef>
              <c:f>Ver130kHz!$J$62:$J$207</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4.6603301964424659</c:v>
                </c:pt>
                <c:pt idx="57">
                  <c:v>4.7293604546039614</c:v>
                </c:pt>
                <c:pt idx="58">
                  <c:v>4.7988982098819495</c:v>
                </c:pt>
                <c:pt idx="59">
                  <c:v>4.9015273382129774</c:v>
                </c:pt>
                <c:pt idx="60">
                  <c:v>5.0353970893832773</c:v>
                </c:pt>
                <c:pt idx="61">
                  <c:v>5.1732179110027614</c:v>
                </c:pt>
                <c:pt idx="62">
                  <c:v>5.3151434928609138</c:v>
                </c:pt>
                <c:pt idx="63">
                  <c:v>5.4613356004796376</c:v>
                </c:pt>
                <c:pt idx="64">
                  <c:v>5.6119646126049068</c:v>
                </c:pt>
                <c:pt idx="65">
                  <c:v>5.7672101022057394</c:v>
                </c:pt>
                <c:pt idx="66">
                  <c:v>5.9272614651453956</c:v>
                </c:pt>
                <c:pt idx="67">
                  <c:v>6.0923186011515522</c:v>
                </c:pt>
                <c:pt idx="68">
                  <c:v>6.2625926522327342</c:v>
                </c:pt>
                <c:pt idx="69">
                  <c:v>6.4383068042754337</c:v>
                </c:pt>
                <c:pt idx="70">
                  <c:v>6.6196971582199771</c:v>
                </c:pt>
                <c:pt idx="71">
                  <c:v>6.8070136779647106</c:v>
                </c:pt>
                <c:pt idx="72">
                  <c:v>7.0005212229999332</c:v>
                </c:pt>
                <c:pt idx="73">
                  <c:v>7.2005006747412414</c:v>
                </c:pt>
                <c:pt idx="74">
                  <c:v>7.4072501666337471</c:v>
                </c:pt>
                <c:pt idx="75">
                  <c:v>7.621086429355068</c:v>
                </c:pt>
                <c:pt idx="76">
                  <c:v>7.8423462638806951</c:v>
                </c:pt>
                <c:pt idx="77">
                  <c:v>8.0713881568189958</c:v>
                </c:pt>
                <c:pt idx="78">
                  <c:v>8.3085940543085108</c:v>
                </c:pt>
                <c:pt idx="79">
                  <c:v>8.5543713129384678</c:v>
                </c:pt>
                <c:pt idx="80">
                  <c:v>8.8091548486509925</c:v>
                </c:pt>
                <c:pt idx="81">
                  <c:v>9.073409507468277</c:v>
                </c:pt>
                <c:pt idx="82">
                  <c:v>9.3476326852271558</c:v>
                </c:pt>
                <c:pt idx="83">
                  <c:v>9.6323572273781277</c:v>
                </c:pt>
                <c:pt idx="84">
                  <c:v>9.9281546444128921</c:v>
                </c:pt>
                <c:pt idx="85">
                  <c:v>10.235638683741493</c:v>
                </c:pt>
                <c:pt idx="86">
                  <c:v>10.555469304987025</c:v>
                </c:pt>
                <c:pt idx="87">
                  <c:v>10.88835711287469</c:v>
                </c:pt>
                <c:pt idx="88">
                  <c:v>11.235068310369726</c:v>
                </c:pt>
                <c:pt idx="89">
                  <c:v>11.596430244718295</c:v>
                </c:pt>
                <c:pt idx="90">
                  <c:v>11.973337630877669</c:v>
                </c:pt>
                <c:pt idx="91">
                  <c:v>12.36675955086654</c:v>
                </c:pt>
                <c:pt idx="92">
                  <c:v>12.777747344293219</c:v>
                </c:pt>
                <c:pt idx="93">
                  <c:v>13.207443525310479</c:v>
                </c:pt>
                <c:pt idx="94">
                  <c:v>13.657091885223785</c:v>
                </c:pt>
                <c:pt idx="95">
                  <c:v>14.128048968848223</c:v>
                </c:pt>
                <c:pt idx="96">
                  <c:v>14.621797147603383</c:v>
                </c:pt>
                <c:pt idx="97">
                  <c:v>15.139959554684125</c:v>
                </c:pt>
                <c:pt idx="98">
                  <c:v>15.68431719926205</c:v>
                </c:pt>
                <c:pt idx="99">
                  <c:v>16.256828639866921</c:v>
                </c:pt>
                <c:pt idx="100">
                  <c:v>16.859652674829526</c:v>
                </c:pt>
                <c:pt idx="101">
                  <c:v>17.495174603748538</c:v>
                </c:pt>
                <c:pt idx="102">
                  <c:v>18.166036733319586</c:v>
                </c:pt>
                <c:pt idx="103">
                  <c:v>18.875173949979985</c:v>
                </c:pt>
                <c:pt idx="104">
                  <c:v>19.62585536914753</c:v>
                </c:pt>
                <c:pt idx="105">
                  <c:v>20.421733307561055</c:v>
                </c:pt>
                <c:pt idx="106">
                  <c:v>21.266901126280725</c:v>
                </c:pt>
                <c:pt idx="107">
                  <c:v>22.165961877298997</c:v>
                </c:pt>
                <c:pt idx="108">
                  <c:v>23.124110183547593</c:v>
                </c:pt>
                <c:pt idx="109">
                  <c:v>24.14723042735617</c:v>
                </c:pt>
                <c:pt idx="110">
                  <c:v>25.242015167089761</c:v>
                </c:pt>
                <c:pt idx="111">
                  <c:v>26.416108816666711</c:v>
                </c:pt>
                <c:pt idx="112">
                  <c:v>27.678283107587614</c:v>
                </c:pt>
                <c:pt idx="113">
                  <c:v>28.609605067342908</c:v>
                </c:pt>
                <c:pt idx="114">
                  <c:v>28.802922482339007</c:v>
                </c:pt>
                <c:pt idx="115">
                  <c:v>28.99637771420889</c:v>
                </c:pt>
                <c:pt idx="116">
                  <c:v>29.18996927674797</c:v>
                </c:pt>
                <c:pt idx="117">
                  <c:v>29.383695705044559</c:v>
                </c:pt>
                <c:pt idx="118">
                  <c:v>29.577555555099956</c:v>
                </c:pt>
                <c:pt idx="119">
                  <c:v>29.771547403456498</c:v>
                </c:pt>
                <c:pt idx="120">
                  <c:v>29.965669846833695</c:v>
                </c:pt>
                <c:pt idx="121">
                  <c:v>30.159921501771922</c:v>
                </c:pt>
                <c:pt idx="122">
                  <c:v>30.354301004283712</c:v>
                </c:pt>
                <c:pt idx="123">
                  <c:v>30.548807009512419</c:v>
                </c:pt>
                <c:pt idx="124">
                  <c:v>30.938193242349325</c:v>
                </c:pt>
                <c:pt idx="125">
                  <c:v>31.32806981151726</c:v>
                </c:pt>
                <c:pt idx="126">
                  <c:v>31.718426613664089</c:v>
                </c:pt>
                <c:pt idx="127">
                  <c:v>32.109253821116241</c:v>
                </c:pt>
                <c:pt idx="128">
                  <c:v>32.500541872539699</c:v>
                </c:pt>
                <c:pt idx="129">
                  <c:v>33.480717746441002</c:v>
                </c:pt>
                <c:pt idx="130">
                  <c:v>34.463577686713784</c:v>
                </c:pt>
                <c:pt idx="131">
                  <c:v>35.448991899677829</c:v>
                </c:pt>
                <c:pt idx="132">
                  <c:v>36.436838827494633</c:v>
                </c:pt>
                <c:pt idx="133">
                  <c:v>37.427004505128657</c:v>
                </c:pt>
                <c:pt idx="134">
                  <c:v>38.419381976630859</c:v>
                </c:pt>
                <c:pt idx="135">
                  <c:v>40.410376386279367</c:v>
                </c:pt>
                <c:pt idx="136">
                  <c:v>42.409087573540234</c:v>
                </c:pt>
                <c:pt idx="137">
                  <c:v>44.414863769353182</c:v>
                </c:pt>
                <c:pt idx="138">
                  <c:v>46.427124593799924</c:v>
                </c:pt>
                <c:pt idx="139">
                  <c:v>48.445351542429648</c:v>
                </c:pt>
                <c:pt idx="140">
                  <c:v>50.469079954494809</c:v>
                </c:pt>
                <c:pt idx="141">
                  <c:v>52.497892200608597</c:v>
                </c:pt>
                <c:pt idx="142">
                  <c:v>54.53141187915903</c:v>
                </c:pt>
                <c:pt idx="143">
                  <c:v>56.569298851407524</c:v>
                </c:pt>
                <c:pt idx="144">
                  <c:v>58.202544831873205</c:v>
                </c:pt>
                <c:pt idx="145">
                  <c:v>58.202544831873205</c:v>
                </c:pt>
              </c:numCache>
            </c:numRef>
          </c:xVal>
          <c:yVal>
            <c:numRef>
              <c:f>Ver130kHz!$I$62:$I$207</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c:v>
                </c:pt>
                <c:pt idx="57">
                  <c:v>22</c:v>
                </c:pt>
                <c:pt idx="58">
                  <c:v>22</c:v>
                </c:pt>
                <c:pt idx="59">
                  <c:v>22.147228094998013</c:v>
                </c:pt>
                <c:pt idx="60">
                  <c:v>22.427132488142071</c:v>
                </c:pt>
                <c:pt idx="61">
                  <c:v>22.71420250158512</c:v>
                </c:pt>
                <c:pt idx="62">
                  <c:v>23.008716865531913</c:v>
                </c:pt>
                <c:pt idx="63">
                  <c:v>23.310968956251571</c:v>
                </c:pt>
                <c:pt idx="64">
                  <c:v>23.621267770866861</c:v>
                </c:pt>
                <c:pt idx="65">
                  <c:v>23.939938981047916</c:v>
                </c:pt>
                <c:pt idx="66">
                  <c:v>24.267326073163733</c:v>
                </c:pt>
                <c:pt idx="67">
                  <c:v>24.603791583282675</c:v>
                </c:pt>
                <c:pt idx="68">
                  <c:v>24.949718436356779</c:v>
                </c:pt>
                <c:pt idx="69">
                  <c:v>25.305511399989967</c:v>
                </c:pt>
                <c:pt idx="70">
                  <c:v>25.671598664393585</c:v>
                </c:pt>
                <c:pt idx="71">
                  <c:v>26.048433561495536</c:v>
                </c:pt>
                <c:pt idx="72">
                  <c:v>26.436496437714442</c:v>
                </c:pt>
                <c:pt idx="73">
                  <c:v>26.83629669666615</c:v>
                </c:pt>
                <c:pt idx="74">
                  <c:v>27.248375030067887</c:v>
                </c:pt>
                <c:pt idx="75">
                  <c:v>27.673305857384474</c:v>
                </c:pt>
                <c:pt idx="76">
                  <c:v>28.111699997364333</c:v>
                </c:pt>
                <c:pt idx="77">
                  <c:v>28.564207597594262</c:v>
                </c:pt>
                <c:pt idx="78">
                  <c:v>29.031521351621148</c:v>
                </c:pt>
                <c:pt idx="79">
                  <c:v>29.514380037121132</c:v>
                </c:pt>
                <c:pt idx="80">
                  <c:v>30.013572413126315</c:v>
                </c:pt>
                <c:pt idx="81">
                  <c:v>30.52994151955091</c:v>
                </c:pt>
                <c:pt idx="82">
                  <c:v>31.064389428314634</c:v>
                </c:pt>
                <c:pt idx="83">
                  <c:v>31.617882502388078</c:v>
                </c:pt>
                <c:pt idx="84">
                  <c:v>32.191457227258695</c:v>
                </c:pt>
                <c:pt idx="85">
                  <c:v>32.786226688850014</c:v>
                </c:pt>
                <c:pt idx="86">
                  <c:v>33.403387783074791</c:v>
                </c:pt>
                <c:pt idx="87">
                  <c:v>34.044229255276633</c:v>
                </c:pt>
                <c:pt idx="88">
                  <c:v>34.710140683189309</c:v>
                </c:pt>
                <c:pt idx="89">
                  <c:v>35.402622535178971</c:v>
                </c:pt>
                <c:pt idx="90">
                  <c:v>36.123297456992418</c:v>
                </c:pt>
                <c:pt idx="91">
                  <c:v>36.873922965706043</c:v>
                </c:pt>
                <c:pt idx="92">
                  <c:v>37.656405759905802</c:v>
                </c:pt>
                <c:pt idx="93">
                  <c:v>38.472817891383819</c:v>
                </c:pt>
                <c:pt idx="94">
                  <c:v>39.325415087123631</c:v>
                </c:pt>
                <c:pt idx="95">
                  <c:v>40.216657562701883</c:v>
                </c:pt>
                <c:pt idx="96">
                  <c:v>41.149233731517292</c:v>
                </c:pt>
                <c:pt idx="97">
                  <c:v>42.12608729106114</c:v>
                </c:pt>
                <c:pt idx="98">
                  <c:v>43.150448261055089</c:v>
                </c:pt>
                <c:pt idx="99">
                  <c:v>44.225868662891372</c:v>
                </c:pt>
                <c:pt idx="100">
                  <c:v>45.356263670784045</c:v>
                </c:pt>
                <c:pt idx="101">
                  <c:v>46.545959239292308</c:v>
                </c:pt>
                <c:pt idx="102">
                  <c:v>47.799747428375099</c:v>
                </c:pt>
                <c:pt idx="103">
                  <c:v>49.122950917569703</c:v>
                </c:pt>
                <c:pt idx="104">
                  <c:v>50.521498540618516</c:v>
                </c:pt>
                <c:pt idx="105">
                  <c:v>52.002014101196693</c:v>
                </c:pt>
                <c:pt idx="106">
                  <c:v>53.571921276376294</c:v>
                </c:pt>
                <c:pt idx="107">
                  <c:v>55.239568113406499</c:v>
                </c:pt>
                <c:pt idx="108">
                  <c:v>57.014375526443061</c:v>
                </c:pt>
                <c:pt idx="109">
                  <c:v>58.907015370116419</c:v>
                </c:pt>
                <c:pt idx="110">
                  <c:v>60.929625198714618</c:v>
                </c:pt>
                <c:pt idx="111">
                  <c:v>63.09606884186347</c:v>
                </c:pt>
                <c:pt idx="112">
                  <c:v>65.422254620638583</c:v>
                </c:pt>
                <c:pt idx="113">
                  <c:v>66.922908272828124</c:v>
                </c:pt>
                <c:pt idx="114">
                  <c:v>66.680602759954937</c:v>
                </c:pt>
                <c:pt idx="115">
                  <c:v>66.440045531893446</c:v>
                </c:pt>
                <c:pt idx="116">
                  <c:v>66.201217735299792</c:v>
                </c:pt>
                <c:pt idx="117">
                  <c:v>65.964100786942694</c:v>
                </c:pt>
                <c:pt idx="118">
                  <c:v>65.728676368883555</c:v>
                </c:pt>
                <c:pt idx="119">
                  <c:v>65.494926423758955</c:v>
                </c:pt>
                <c:pt idx="120">
                  <c:v>65.262833150163885</c:v>
                </c:pt>
                <c:pt idx="121">
                  <c:v>65.032378998132387</c:v>
                </c:pt>
                <c:pt idx="122">
                  <c:v>64.803546664713963</c:v>
                </c:pt>
                <c:pt idx="123">
                  <c:v>64.576319089642766</c:v>
                </c:pt>
                <c:pt idx="124">
                  <c:v>64.126611161551637</c:v>
                </c:pt>
                <c:pt idx="125">
                  <c:v>63.683123426508203</c:v>
                </c:pt>
                <c:pt idx="126">
                  <c:v>63.245727717789521</c:v>
                </c:pt>
                <c:pt idx="127">
                  <c:v>62.814299365810456</c:v>
                </c:pt>
                <c:pt idx="128">
                  <c:v>62.388717079654057</c:v>
                </c:pt>
                <c:pt idx="129">
                  <c:v>61.349571097528674</c:v>
                </c:pt>
                <c:pt idx="130">
                  <c:v>60.344474011899003</c:v>
                </c:pt>
                <c:pt idx="131">
                  <c:v>59.371779316690962</c:v>
                </c:pt>
                <c:pt idx="132">
                  <c:v>58.429944982130223</c:v>
                </c:pt>
                <c:pt idx="133">
                  <c:v>57.517525297432307</c:v>
                </c:pt>
                <c:pt idx="134">
                  <c:v>56.633163466030226</c:v>
                </c:pt>
                <c:pt idx="135">
                  <c:v>54.943590958432274</c:v>
                </c:pt>
                <c:pt idx="136">
                  <c:v>53.351910129294701</c:v>
                </c:pt>
                <c:pt idx="137">
                  <c:v>51.849852920305771</c:v>
                </c:pt>
                <c:pt idx="138">
                  <c:v>50.430056884703312</c:v>
                </c:pt>
                <c:pt idx="139">
                  <c:v>49.085944500944741</c:v>
                </c:pt>
                <c:pt idx="140">
                  <c:v>47.811621285248151</c:v>
                </c:pt>
                <c:pt idx="141">
                  <c:v>46.601789373180068</c:v>
                </c:pt>
                <c:pt idx="142">
                  <c:v>45.451673897895972</c:v>
                </c:pt>
                <c:pt idx="143">
                  <c:v>44.356960007561653</c:v>
                </c:pt>
                <c:pt idx="144">
                  <c:v>43.51843882008621</c:v>
                </c:pt>
                <c:pt idx="145">
                  <c:v>43.51843882008621</c:v>
                </c:pt>
              </c:numCache>
            </c:numRef>
          </c:yVal>
          <c:smooth val="1"/>
        </c:ser>
        <c:ser>
          <c:idx val="0"/>
          <c:order val="2"/>
          <c:tx>
            <c:strRef>
              <c:f>Ver130kHz!$G$23</c:f>
              <c:strCache>
                <c:ptCount val="1"/>
                <c:pt idx="0">
                  <c:v>peak at 90VAC</c:v>
                </c:pt>
              </c:strCache>
            </c:strRef>
          </c:tx>
          <c:spPr>
            <a:ln>
              <a:solidFill>
                <a:srgbClr val="0000CC"/>
              </a:solidFill>
              <a:prstDash val="sysDash"/>
            </a:ln>
          </c:spPr>
          <c:marker>
            <c:symbol val="none"/>
          </c:marker>
          <c:xVal>
            <c:numRef>
              <c:f>Ver130kHz!$N$62:$N$207</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4.6603301964424659</c:v>
                </c:pt>
                <c:pt idx="57">
                  <c:v>4.7293604546039614</c:v>
                </c:pt>
                <c:pt idx="58">
                  <c:v>4.8175556403073871</c:v>
                </c:pt>
                <c:pt idx="59">
                  <c:v>4.9494736116106264</c:v>
                </c:pt>
                <c:pt idx="60">
                  <c:v>5.0852815426611384</c:v>
                </c:pt>
                <c:pt idx="61">
                  <c:v>5.22513030828976</c:v>
                </c:pt>
                <c:pt idx="62">
                  <c:v>5.3691786879044212</c:v>
                </c:pt>
                <c:pt idx="63">
                  <c:v>5.517593890027495</c:v>
                </c:pt>
                <c:pt idx="64">
                  <c:v>5.6705521191640953</c:v>
                </c:pt>
                <c:pt idx="65">
                  <c:v>5.8282391890411747</c:v>
                </c:pt>
                <c:pt idx="66">
                  <c:v>5.9908511867040177</c:v>
                </c:pt>
                <c:pt idx="67">
                  <c:v>6.1585951924597548</c:v>
                </c:pt>
                <c:pt idx="68">
                  <c:v>6.3316900612249984</c:v>
                </c:pt>
                <c:pt idx="69">
                  <c:v>6.5103672714757099</c:v>
                </c:pt>
                <c:pt idx="70">
                  <c:v>6.6948718487228973</c:v>
                </c:pt>
                <c:pt idx="71">
                  <c:v>6.8854633712602418</c:v>
                </c:pt>
                <c:pt idx="72">
                  <c:v>7.0824170668636182</c:v>
                </c:pt>
                <c:pt idx="73">
                  <c:v>7.2860250101851713</c:v>
                </c:pt>
                <c:pt idx="74">
                  <c:v>7.4965974317958937</c:v>
                </c:pt>
                <c:pt idx="75">
                  <c:v>7.7144641512138383</c:v>
                </c:pt>
                <c:pt idx="76">
                  <c:v>7.9399761478382498</c:v>
                </c:pt>
                <c:pt idx="77">
                  <c:v>8.1735072855251421</c:v>
                </c:pt>
                <c:pt idx="78">
                  <c:v>8.4154562086255762</c:v>
                </c:pt>
                <c:pt idx="79">
                  <c:v>8.6662484297106204</c:v>
                </c:pt>
                <c:pt idx="80">
                  <c:v>8.9263386319793891</c:v>
                </c:pt>
                <c:pt idx="81">
                  <c:v>9.1962132125547473</c:v>
                </c:pt>
                <c:pt idx="82">
                  <c:v>9.47639309659173</c:v>
                </c:pt>
                <c:pt idx="83">
                  <c:v>9.7674368564488958</c:v>
                </c:pt>
                <c:pt idx="84">
                  <c:v>10.069944175214506</c:v>
                </c:pt>
                <c:pt idx="85">
                  <c:v>10.384559699771744</c:v>
                </c:pt>
                <c:pt idx="86">
                  <c:v>10.711977335492099</c:v>
                </c:pt>
                <c:pt idx="87">
                  <c:v>11.052945042761651</c:v>
                </c:pt>
                <c:pt idx="88">
                  <c:v>11.408270205111279</c:v>
                </c:pt>
                <c:pt idx="89">
                  <c:v>11.778825650032294</c:v>
                </c:pt>
                <c:pt idx="90">
                  <c:v>12.165556416975674</c:v>
                </c:pt>
                <c:pt idx="91">
                  <c:v>12.569487382999439</c:v>
                </c:pt>
                <c:pt idx="92">
                  <c:v>12.99173187559555</c:v>
                </c:pt>
                <c:pt idx="93">
                  <c:v>13.433501425079001</c:v>
                </c:pt>
                <c:pt idx="94">
                  <c:v>13.896116836410133</c:v>
                </c:pt>
                <c:pt idx="95">
                  <c:v>14.381020793516706</c:v>
                </c:pt>
                <c:pt idx="96">
                  <c:v>14.889792249433089</c:v>
                </c:pt>
                <c:pt idx="97">
                  <c:v>15.424162904585369</c:v>
                </c:pt>
                <c:pt idx="98">
                  <c:v>15.986036135495375</c:v>
                </c:pt>
                <c:pt idx="99">
                  <c:v>16.577508809831539</c:v>
                </c:pt>
                <c:pt idx="100">
                  <c:v>17.200896514676156</c:v>
                </c:pt>
                <c:pt idx="101">
                  <c:v>17.858762837733895</c:v>
                </c:pt>
                <c:pt idx="102">
                  <c:v>18.553953482007067</c:v>
                </c:pt>
                <c:pt idx="103">
                  <c:v>19.289636171111081</c:v>
                </c:pt>
                <c:pt idx="104">
                  <c:v>20.069347525339573</c:v>
                </c:pt>
                <c:pt idx="105">
                  <c:v>20.89704837168857</c:v>
                </c:pt>
                <c:pt idx="106">
                  <c:v>21.777189312916093</c:v>
                </c:pt>
                <c:pt idx="107">
                  <c:v>22.714788846470594</c:v>
                </c:pt>
                <c:pt idx="108">
                  <c:v>23.71552692800411</c:v>
                </c:pt>
                <c:pt idx="109">
                  <c:v>24.785857663257261</c:v>
                </c:pt>
                <c:pt idx="110">
                  <c:v>25.933145851689524</c:v>
                </c:pt>
                <c:pt idx="111">
                  <c:v>27.16583348693425</c:v>
                </c:pt>
                <c:pt idx="112">
                  <c:v>28.493644172826102</c:v>
                </c:pt>
                <c:pt idx="113">
                  <c:v>29.927835925575394</c:v>
                </c:pt>
                <c:pt idx="114">
                  <c:v>31.481516272958608</c:v>
                </c:pt>
                <c:pt idx="115">
                  <c:v>33.170038327822198</c:v>
                </c:pt>
                <c:pt idx="116">
                  <c:v>35.011503199154205</c:v>
                </c:pt>
                <c:pt idx="117">
                  <c:v>37.02740360862952</c:v>
                </c:pt>
                <c:pt idx="118">
                  <c:v>39.243457289104711</c:v>
                </c:pt>
                <c:pt idx="119">
                  <c:v>41.690698826829426</c:v>
                </c:pt>
                <c:pt idx="120">
                  <c:v>44.406928546544457</c:v>
                </c:pt>
                <c:pt idx="121">
                  <c:v>47.438662507256744</c:v>
                </c:pt>
                <c:pt idx="122">
                  <c:v>50.843798176615586</c:v>
                </c:pt>
                <c:pt idx="123">
                  <c:v>51.281814526680861</c:v>
                </c:pt>
                <c:pt idx="124">
                  <c:v>51.99165405830253</c:v>
                </c:pt>
                <c:pt idx="125">
                  <c:v>52.7030664990112</c:v>
                </c:pt>
                <c:pt idx="126">
                  <c:v>53.416024380350244</c:v>
                </c:pt>
                <c:pt idx="127">
                  <c:v>54.130500869754414</c:v>
                </c:pt>
                <c:pt idx="128">
                  <c:v>54.846469752254436</c:v>
                </c:pt>
                <c:pt idx="129">
                  <c:v>56.642754509924238</c:v>
                </c:pt>
                <c:pt idx="130">
                  <c:v>58.447823592752066</c:v>
                </c:pt>
                <c:pt idx="131">
                  <c:v>60.261313585863803</c:v>
                </c:pt>
                <c:pt idx="132">
                  <c:v>62.082880848070175</c:v>
                </c:pt>
                <c:pt idx="133">
                  <c:v>63.91220018503833</c:v>
                </c:pt>
                <c:pt idx="134">
                  <c:v>65.748963627885843</c:v>
                </c:pt>
                <c:pt idx="135">
                  <c:v>69.443670416303533</c:v>
                </c:pt>
                <c:pt idx="136">
                  <c:v>73.164841314269211</c:v>
                </c:pt>
                <c:pt idx="137">
                  <c:v>76.910528398733234</c:v>
                </c:pt>
                <c:pt idx="138">
                  <c:v>80.678970340816988</c:v>
                </c:pt>
                <c:pt idx="139">
                  <c:v>84.468570585723157</c:v>
                </c:pt>
                <c:pt idx="140">
                  <c:v>88.277878524607814</c:v>
                </c:pt>
                <c:pt idx="141">
                  <c:v>92.105573190475553</c:v>
                </c:pt>
                <c:pt idx="142">
                  <c:v>95.950449091970455</c:v>
                </c:pt>
                <c:pt idx="143">
                  <c:v>99.811403865001935</c:v>
                </c:pt>
                <c:pt idx="144">
                  <c:v>102.9110628737979</c:v>
                </c:pt>
                <c:pt idx="145">
                  <c:v>102.9110628737979</c:v>
                </c:pt>
              </c:numCache>
            </c:numRef>
          </c:xVal>
          <c:yVal>
            <c:numRef>
              <c:f>Ver130kHz!$M$62:$M$207</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c:v>
                </c:pt>
                <c:pt idx="57">
                  <c:v>22</c:v>
                </c:pt>
                <c:pt idx="58">
                  <c:v>22.085532855961478</c:v>
                </c:pt>
                <c:pt idx="59">
                  <c:v>22.363870170002745</c:v>
                </c:pt>
                <c:pt idx="60">
                  <c:v>22.649312630621786</c:v>
                </c:pt>
                <c:pt idx="61">
                  <c:v>22.942135815937053</c:v>
                </c:pt>
                <c:pt idx="62">
                  <c:v>23.242629742051577</c:v>
                </c:pt>
                <c:pt idx="63">
                  <c:v>23.551099821138678</c:v>
                </c:pt>
                <c:pt idx="64">
                  <c:v>23.867867896846569</c:v>
                </c:pt>
                <c:pt idx="65">
                  <c:v>24.193273364400898</c:v>
                </c:pt>
                <c:pt idx="66">
                  <c:v>24.527674383600029</c:v>
                </c:pt>
                <c:pt idx="67">
                  <c:v>24.871449193816897</c:v>
                </c:pt>
                <c:pt idx="68">
                  <c:v>25.224997541157588</c:v>
                </c:pt>
                <c:pt idx="69">
                  <c:v>25.588742229097747</c:v>
                </c:pt>
                <c:pt idx="70">
                  <c:v>25.963130805243047</c:v>
                </c:pt>
                <c:pt idx="71">
                  <c:v>26.348637398362126</c:v>
                </c:pt>
                <c:pt idx="72">
                  <c:v>26.745764721546333</c:v>
                </c:pt>
                <c:pt idx="73">
                  <c:v>27.155046259291666</c:v>
                </c:pt>
                <c:pt idx="74">
                  <c:v>27.577048658510424</c:v>
                </c:pt>
                <c:pt idx="75">
                  <c:v>28.012374346007061</c:v>
                </c:pt>
                <c:pt idx="76">
                  <c:v>28.461664397843911</c:v>
                </c:pt>
                <c:pt idx="77">
                  <c:v>28.925601689338372</c:v>
                </c:pt>
                <c:pt idx="78">
                  <c:v>29.404914358242689</c:v>
                </c:pt>
                <c:pt idx="79">
                  <c:v>29.900379618046088</c:v>
                </c:pt>
                <c:pt idx="80">
                  <c:v>30.412827963403025</c:v>
                </c:pt>
                <c:pt idx="81">
                  <c:v>30.943147815551129</c:v>
                </c:pt>
                <c:pt idx="82">
                  <c:v>31.492290662377933</c:v>
                </c:pt>
                <c:pt idx="83">
                  <c:v>32.061276755695708</c:v>
                </c:pt>
                <c:pt idx="84">
                  <c:v>32.651201437492347</c:v>
                </c:pt>
                <c:pt idx="85">
                  <c:v>33.263242177688753</c:v>
                </c:pt>
                <c:pt idx="86">
                  <c:v>33.898666418545439</c:v>
                </c:pt>
                <c:pt idx="87">
                  <c:v>34.558840335684494</c:v>
                </c:pt>
                <c:pt idx="88">
                  <c:v>35.245238643165699</c:v>
                </c:pt>
                <c:pt idx="89">
                  <c:v>35.959455590715478</c:v>
                </c:pt>
                <c:pt idx="90">
                  <c:v>36.703217325712536</c:v>
                </c:pt>
                <c:pt idx="91">
                  <c:v>37.478395821697596</c:v>
                </c:pt>
                <c:pt idx="92">
                  <c:v>38.287024610000898</c:v>
                </c:pt>
                <c:pt idx="93">
                  <c:v>39.13131659281958</c:v>
                </c:pt>
                <c:pt idx="94">
                  <c:v>40.013684266285601</c:v>
                </c:pt>
                <c:pt idx="95">
                  <c:v>40.936762742697844</c:v>
                </c:pt>
                <c:pt idx="96">
                  <c:v>41.903436034611062</c:v>
                </c:pt>
                <c:pt idx="97">
                  <c:v>42.916867152995955</c:v>
                </c:pt>
                <c:pt idx="98">
                  <c:v>43.980532681174395</c:v>
                </c:pt>
                <c:pt idx="99">
                  <c:v>45.098262620767592</c:v>
                </c:pt>
                <c:pt idx="100">
                  <c:v>46.274286472002345</c:v>
                </c:pt>
                <c:pt idx="101">
                  <c:v>47.513286716855333</c:v>
                </c:pt>
                <c:pt idx="102">
                  <c:v>48.820461130692351</c:v>
                </c:pt>
                <c:pt idx="103">
                  <c:v>50.201595670712834</c:v>
                </c:pt>
                <c:pt idx="104">
                  <c:v>51.663150096710936</c:v>
                </c:pt>
                <c:pt idx="105">
                  <c:v>53.212358996755519</c:v>
                </c:pt>
                <c:pt idx="106">
                  <c:v>54.857351551354753</c:v>
                </c:pt>
                <c:pt idx="107">
                  <c:v>56.607294220392077</c:v>
                </c:pt>
                <c:pt idx="108">
                  <c:v>58.472561640132355</c:v>
                </c:pt>
                <c:pt idx="109">
                  <c:v>60.464942458863682</c:v>
                </c:pt>
                <c:pt idx="110">
                  <c:v>62.597888738580387</c:v>
                </c:pt>
                <c:pt idx="111">
                  <c:v>64.886820073846522</c:v>
                </c:pt>
                <c:pt idx="112">
                  <c:v>67.349496964769543</c:v>
                </c:pt>
                <c:pt idx="113">
                  <c:v>70.006482568951654</c:v>
                </c:pt>
                <c:pt idx="114">
                  <c:v>72.88171824110465</c:v>
                </c:pt>
                <c:pt idx="115">
                  <c:v>76.003246975060463</c:v>
                </c:pt>
                <c:pt idx="116">
                  <c:v>79.404131075042287</c:v>
                </c:pt>
                <c:pt idx="117">
                  <c:v>83.123627743637471</c:v>
                </c:pt>
                <c:pt idx="118">
                  <c:v>87.208711313092522</c:v>
                </c:pt>
                <c:pt idx="119">
                  <c:v>91.716067533032231</c:v>
                </c:pt>
                <c:pt idx="120">
                  <c:v>96.714740009411429</c:v>
                </c:pt>
                <c:pt idx="121">
                  <c:v>102.28969193952193</c:v>
                </c:pt>
                <c:pt idx="122">
                  <c:v>108.54667505882031</c:v>
                </c:pt>
                <c:pt idx="123">
                  <c:v>108.4032779852792</c:v>
                </c:pt>
                <c:pt idx="124">
                  <c:v>107.76481216359161</c:v>
                </c:pt>
                <c:pt idx="125">
                  <c:v>107.13382308596974</c:v>
                </c:pt>
                <c:pt idx="126">
                  <c:v>106.51018018248969</c:v>
                </c:pt>
                <c:pt idx="127">
                  <c:v>105.89375590590458</c:v>
                </c:pt>
                <c:pt idx="128">
                  <c:v>105.28442564467973</c:v>
                </c:pt>
                <c:pt idx="129">
                  <c:v>103.79134405909961</c:v>
                </c:pt>
                <c:pt idx="130">
                  <c:v>102.34001832040195</c:v>
                </c:pt>
                <c:pt idx="131">
                  <c:v>100.92872095429978</c:v>
                </c:pt>
                <c:pt idx="132">
                  <c:v>99.555818479720472</c:v>
                </c:pt>
                <c:pt idx="133">
                  <c:v>98.219765101793385</c:v>
                </c:pt>
                <c:pt idx="134">
                  <c:v>96.919096905958824</c:v>
                </c:pt>
                <c:pt idx="135">
                  <c:v>94.418438114351403</c:v>
                </c:pt>
                <c:pt idx="136">
                  <c:v>92.043575133610076</c:v>
                </c:pt>
                <c:pt idx="137">
                  <c:v>89.785248609699693</c:v>
                </c:pt>
                <c:pt idx="138">
                  <c:v>87.635086154571709</c:v>
                </c:pt>
                <c:pt idx="139">
                  <c:v>85.585498625468276</c:v>
                </c:pt>
                <c:pt idx="140">
                  <c:v>83.629590626365101</c:v>
                </c:pt>
                <c:pt idx="141">
                  <c:v>81.761083007229828</c:v>
                </c:pt>
                <c:pt idx="142">
                  <c:v>79.974245525662809</c:v>
                </c:pt>
                <c:pt idx="143">
                  <c:v>78.263838149521575</c:v>
                </c:pt>
                <c:pt idx="144">
                  <c:v>76.947301986886018</c:v>
                </c:pt>
                <c:pt idx="145">
                  <c:v>76.947301986886018</c:v>
                </c:pt>
              </c:numCache>
            </c:numRef>
          </c:yVal>
          <c:smooth val="1"/>
        </c:ser>
        <c:ser>
          <c:idx val="1"/>
          <c:order val="3"/>
          <c:tx>
            <c:strRef>
              <c:f>Ver130kHz!$G$24</c:f>
              <c:strCache>
                <c:ptCount val="1"/>
                <c:pt idx="0">
                  <c:v>peak at 115VAC</c:v>
                </c:pt>
              </c:strCache>
            </c:strRef>
          </c:tx>
          <c:spPr>
            <a:ln>
              <a:solidFill>
                <a:srgbClr val="0000CC"/>
              </a:solidFill>
              <a:prstDash val="dash"/>
            </a:ln>
          </c:spPr>
          <c:marker>
            <c:symbol val="none"/>
          </c:marker>
          <c:xVal>
            <c:numRef>
              <c:f>Ver130kHz!$R$62:$R$207</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4.6603301964424659</c:v>
                </c:pt>
                <c:pt idx="57">
                  <c:v>4.7293604546039614</c:v>
                </c:pt>
                <c:pt idx="58">
                  <c:v>4.810878361898375</c:v>
                </c:pt>
                <c:pt idx="59">
                  <c:v>4.9425271561924378</c:v>
                </c:pt>
                <c:pt idx="60">
                  <c:v>5.078053519651176</c:v>
                </c:pt>
                <c:pt idx="61">
                  <c:v>5.2176076300036645</c:v>
                </c:pt>
                <c:pt idx="62">
                  <c:v>5.3613475215579065</c:v>
                </c:pt>
                <c:pt idx="63">
                  <c:v>5.5094396057825819</c:v>
                </c:pt>
                <c:pt idx="64">
                  <c:v>5.6620592338376268</c:v>
                </c:pt>
                <c:pt idx="65">
                  <c:v>5.8193913050509103</c:v>
                </c:pt>
                <c:pt idx="66">
                  <c:v>5.981630925779684</c:v>
                </c:pt>
                <c:pt idx="67">
                  <c:v>6.1489841235923368</c:v>
                </c:pt>
                <c:pt idx="68">
                  <c:v>6.3216686222664613</c:v>
                </c:pt>
                <c:pt idx="69">
                  <c:v>6.4999146837321113</c:v>
                </c:pt>
                <c:pt idx="70">
                  <c:v>6.6839660238054153</c:v>
                </c:pt>
                <c:pt idx="71">
                  <c:v>6.8740808093695218</c:v>
                </c:pt>
                <c:pt idx="72">
                  <c:v>7.0705327455814073</c:v>
                </c:pt>
                <c:pt idx="73">
                  <c:v>7.2736122627316071</c:v>
                </c:pt>
                <c:pt idx="74">
                  <c:v>7.483627813578714</c:v>
                </c:pt>
                <c:pt idx="75">
                  <c:v>7.7009072933446809</c:v>
                </c:pt>
                <c:pt idx="76">
                  <c:v>7.9257995961178098</c:v>
                </c:pt>
                <c:pt idx="77">
                  <c:v>8.1586763231998294</c:v>
                </c:pt>
                <c:pt idx="78">
                  <c:v>8.3999336609888804</c:v>
                </c:pt>
                <c:pt idx="79">
                  <c:v>8.6499944483576261</c:v>
                </c:pt>
                <c:pt idx="80">
                  <c:v>8.9093104562166179</c:v>
                </c:pt>
                <c:pt idx="81">
                  <c:v>9.178364905112339</c:v>
                </c:pt>
                <c:pt idx="82">
                  <c:v>9.4576752503721391</c:v>
                </c:pt>
                <c:pt idx="83">
                  <c:v>9.7477962685651853</c:v>
                </c:pt>
                <c:pt idx="84">
                  <c:v>10.049323484009328</c:v>
                </c:pt>
                <c:pt idx="85">
                  <c:v>10.362896979849515</c:v>
                </c:pt>
                <c:pt idx="86">
                  <c:v>10.689205645023375</c:v>
                </c:pt>
                <c:pt idx="87">
                  <c:v>11.028991916407321</c:v>
                </c:pt>
                <c:pt idx="88">
                  <c:v>11.383057084837057</c:v>
                </c:pt>
                <c:pt idx="89">
                  <c:v>11.752267244807287</c:v>
                </c:pt>
                <c:pt idx="90">
                  <c:v>12.13755998083036</c:v>
                </c:pt>
                <c:pt idx="91">
                  <c:v>12.539951899106494</c:v>
                </c:pt>
                <c:pt idx="92">
                  <c:v>12.960547131867346</c:v>
                </c:pt>
                <c:pt idx="93">
                  <c:v>13.400546964167987</c:v>
                </c:pt>
                <c:pt idx="94">
                  <c:v>13.86126075985276</c:v>
                </c:pt>
                <c:pt idx="95">
                  <c:v>14.344118395951545</c:v>
                </c:pt>
                <c:pt idx="96">
                  <c:v>14.850684454190414</c:v>
                </c:pt>
                <c:pt idx="97">
                  <c:v>15.382674466286035</c:v>
                </c:pt>
                <c:pt idx="98">
                  <c:v>15.941973568353301</c:v>
                </c:pt>
                <c:pt idx="99">
                  <c:v>16.530657991794548</c:v>
                </c:pt>
                <c:pt idx="100">
                  <c:v>17.15101990693627</c:v>
                </c:pt>
                <c:pt idx="101">
                  <c:v>17.805596245933977</c:v>
                </c:pt>
                <c:pt idx="102">
                  <c:v>18.497202268938626</c:v>
                </c:pt>
                <c:pt idx="103">
                  <c:v>19.22897080988044</c:v>
                </c:pt>
                <c:pt idx="104">
                  <c:v>20.004398355607801</c:v>
                </c:pt>
                <c:pt idx="105">
                  <c:v>20.827399387969827</c:v>
                </c:pt>
                <c:pt idx="106">
                  <c:v>21.702370770768653</c:v>
                </c:pt>
                <c:pt idx="107">
                  <c:v>22.634268416640911</c:v>
                </c:pt>
                <c:pt idx="108">
                  <c:v>23.628699055950296</c:v>
                </c:pt>
                <c:pt idx="109">
                  <c:v>24.692030696133429</c:v>
                </c:pt>
                <c:pt idx="110">
                  <c:v>25.831526368652156</c:v>
                </c:pt>
                <c:pt idx="111">
                  <c:v>27.05550710002742</c:v>
                </c:pt>
                <c:pt idx="112">
                  <c:v>28.373551838308344</c:v>
                </c:pt>
                <c:pt idx="113">
                  <c:v>29.796744495702058</c:v>
                </c:pt>
                <c:pt idx="114">
                  <c:v>31.337981591356669</c:v>
                </c:pt>
                <c:pt idx="115">
                  <c:v>33.012358576489845</c:v>
                </c:pt>
                <c:pt idx="116">
                  <c:v>34.837659364841286</c:v>
                </c:pt>
                <c:pt idx="117">
                  <c:v>36.834982733436412</c:v>
                </c:pt>
                <c:pt idx="118">
                  <c:v>39.029552422138451</c:v>
                </c:pt>
                <c:pt idx="119">
                  <c:v>41.451777012036054</c:v>
                </c:pt>
                <c:pt idx="120">
                  <c:v>44.138654300394123</c:v>
                </c:pt>
                <c:pt idx="121">
                  <c:v>47.135658289615286</c:v>
                </c:pt>
                <c:pt idx="122">
                  <c:v>50.499314038036609</c:v>
                </c:pt>
                <c:pt idx="123">
                  <c:v>53.62138450527857</c:v>
                </c:pt>
                <c:pt idx="124">
                  <c:v>54.373351130312187</c:v>
                </c:pt>
                <c:pt idx="125">
                  <c:v>55.127116875304957</c:v>
                </c:pt>
                <c:pt idx="126">
                  <c:v>55.882651261048267</c:v>
                </c:pt>
                <c:pt idx="127">
                  <c:v>56.639924492939187</c:v>
                </c:pt>
                <c:pt idx="128">
                  <c:v>57.398907441865987</c:v>
                </c:pt>
                <c:pt idx="129">
                  <c:v>59.303659456482357</c:v>
                </c:pt>
                <c:pt idx="130">
                  <c:v>61.218492729972517</c:v>
                </c:pt>
                <c:pt idx="131">
                  <c:v>63.143002030852003</c:v>
                </c:pt>
                <c:pt idx="132">
                  <c:v>65.076803559005938</c:v>
                </c:pt>
                <c:pt idx="133">
                  <c:v>67.019533547383347</c:v>
                </c:pt>
                <c:pt idx="134">
                  <c:v>68.970846971760849</c:v>
                </c:pt>
                <c:pt idx="135">
                  <c:v>72.897930684839181</c:v>
                </c:pt>
                <c:pt idx="136">
                  <c:v>76.855626256415945</c:v>
                </c:pt>
                <c:pt idx="137">
                  <c:v>80.841737538821235</c:v>
                </c:pt>
                <c:pt idx="138">
                  <c:v>84.854273551936174</c:v>
                </c:pt>
                <c:pt idx="139">
                  <c:v>88.891425071148262</c:v>
                </c:pt>
                <c:pt idx="140">
                  <c:v>92.951544349682464</c:v>
                </c:pt>
                <c:pt idx="141">
                  <c:v>97.033127496429273</c:v>
                </c:pt>
                <c:pt idx="142">
                  <c:v>101.13479911222095</c:v>
                </c:pt>
                <c:pt idx="143">
                  <c:v>105.25529885393696</c:v>
                </c:pt>
                <c:pt idx="144">
                  <c:v>108.56447414716872</c:v>
                </c:pt>
                <c:pt idx="145">
                  <c:v>108.56447414716872</c:v>
                </c:pt>
              </c:numCache>
            </c:numRef>
          </c:xVal>
          <c:yVal>
            <c:numRef>
              <c:f>Ver130kHz!$Q$62:$Q$207</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c:v>
                </c:pt>
                <c:pt idx="57">
                  <c:v>22</c:v>
                </c:pt>
                <c:pt idx="58">
                  <c:v>22.054921636766256</c:v>
                </c:pt>
                <c:pt idx="59">
                  <c:v>22.33248306921092</c:v>
                </c:pt>
                <c:pt idx="60">
                  <c:v>22.617119771390573</c:v>
                </c:pt>
                <c:pt idx="61">
                  <c:v>22.909105767544695</c:v>
                </c:pt>
                <c:pt idx="62">
                  <c:v>23.208729417547477</c:v>
                </c:pt>
                <c:pt idx="63">
                  <c:v>23.516294366795798</c:v>
                </c:pt>
                <c:pt idx="64">
                  <c:v>23.832120572639784</c:v>
                </c:pt>
                <c:pt idx="65">
                  <c:v>24.156545414649717</c:v>
                </c:pt>
                <c:pt idx="66">
                  <c:v>24.48992489681828</c:v>
                </c:pt>
                <c:pt idx="67">
                  <c:v>24.832634950703966</c:v>
                </c:pt>
                <c:pt idx="68">
                  <c:v>25.185072849543886</c:v>
                </c:pt>
                <c:pt idx="69">
                  <c:v>25.547658744519257</c:v>
                </c:pt>
                <c:pt idx="70">
                  <c:v>25.920837335663688</c:v>
                </c:pt>
                <c:pt idx="71">
                  <c:v>26.30507969138559</c:v>
                </c:pt>
                <c:pt idx="72">
                  <c:v>26.700885232257793</c:v>
                </c:pt>
                <c:pt idx="73">
                  <c:v>27.108783896640528</c:v>
                </c:pt>
                <c:pt idx="74">
                  <c:v>27.529338507883892</c:v>
                </c:pt>
                <c:pt idx="75">
                  <c:v>27.963147365345456</c:v>
                </c:pt>
                <c:pt idx="76">
                  <c:v>28.410847084306301</c:v>
                </c:pt>
                <c:pt idx="77">
                  <c:v>28.873115713134339</c:v>
                </c:pt>
                <c:pt idx="78">
                  <c:v>29.350676159794109</c:v>
                </c:pt>
                <c:pt idx="79">
                  <c:v>29.844299964121905</c:v>
                </c:pt>
                <c:pt idx="80">
                  <c:v>30.354811457268202</c:v>
                </c:pt>
                <c:pt idx="81">
                  <c:v>30.883092355473948</c:v>
                </c:pt>
                <c:pt idx="82">
                  <c:v>31.430086842030597</c:v>
                </c:pt>
                <c:pt idx="83">
                  <c:v>31.996807199041402</c:v>
                </c:pt>
                <c:pt idx="84">
                  <c:v>32.584340059652959</c:v>
                </c:pt>
                <c:pt idx="85">
                  <c:v>33.193853362001512</c:v>
                </c:pt>
                <c:pt idx="86">
                  <c:v>33.82660409850785</c:v>
                </c:pt>
                <c:pt idx="87">
                  <c:v>34.483946968711514</c:v>
                </c:pt>
                <c:pt idx="88">
                  <c:v>35.167344060987446</c:v>
                </c:pt>
                <c:pt idx="89">
                  <c:v>35.87837570876254</c:v>
                </c:pt>
                <c:pt idx="90">
                  <c:v>36.61875269088884</c:v>
                </c:pt>
                <c:pt idx="91">
                  <c:v>37.390329974428255</c:v>
                </c:pt>
                <c:pt idx="92">
                  <c:v>38.195122232241609</c:v>
                </c:pt>
                <c:pt idx="93">
                  <c:v>39.03532140867145</c:v>
                </c:pt>
                <c:pt idx="94">
                  <c:v>39.913316655783518</c:v>
                </c:pt>
                <c:pt idx="95">
                  <c:v>40.831717021990542</c:v>
                </c:pt>
                <c:pt idx="96">
                  <c:v>41.793377346823227</c:v>
                </c:pt>
                <c:pt idx="97">
                  <c:v>42.801427903171351</c:v>
                </c:pt>
                <c:pt idx="98">
                  <c:v>43.859308435352411</c:v>
                </c:pt>
                <c:pt idx="99">
                  <c:v>44.970807372812793</c:v>
                </c:pt>
                <c:pt idx="100">
                  <c:v>46.140107161474077</c:v>
                </c:pt>
                <c:pt idx="101">
                  <c:v>47.371836855915909</c:v>
                </c:pt>
                <c:pt idx="102">
                  <c:v>48.6711333664283</c:v>
                </c:pt>
                <c:pt idx="103">
                  <c:v>50.043713069470236</c:v>
                </c:pt>
                <c:pt idx="104">
                  <c:v>51.49595588672117</c:v>
                </c:pt>
                <c:pt idx="105">
                  <c:v>53.03500444124699</c:v>
                </c:pt>
                <c:pt idx="106">
                  <c:v>54.668881542201284</c:v>
                </c:pt>
                <c:pt idx="107">
                  <c:v>56.406630076299464</c:v>
                </c:pt>
                <c:pt idx="108">
                  <c:v>58.258480455423232</c:v>
                </c:pt>
                <c:pt idx="109">
                  <c:v>60.236052168065221</c:v>
                </c:pt>
                <c:pt idx="110">
                  <c:v>62.352597822884142</c:v>
                </c:pt>
                <c:pt idx="111">
                  <c:v>64.623300516456013</c:v>
                </c:pt>
                <c:pt idx="112">
                  <c:v>67.065638632362578</c:v>
                </c:pt>
                <c:pt idx="113">
                  <c:v>69.699836611549699</c:v>
                </c:pt>
                <c:pt idx="114">
                  <c:v>72.549426297742158</c:v>
                </c:pt>
                <c:pt idx="115">
                  <c:v>75.641951851882169</c:v>
                </c:pt>
                <c:pt idx="116">
                  <c:v>79.009862981843014</c:v>
                </c:pt>
                <c:pt idx="117">
                  <c:v>82.691657914785381</c:v>
                </c:pt>
                <c:pt idx="118">
                  <c:v>86.733361558500292</c:v>
                </c:pt>
                <c:pt idx="119">
                  <c:v>91.190459425772545</c:v>
                </c:pt>
                <c:pt idx="120">
                  <c:v>96.130460150009412</c:v>
                </c:pt>
                <c:pt idx="121">
                  <c:v>101.63633861038498</c:v>
                </c:pt>
                <c:pt idx="122">
                  <c:v>107.811234175286</c:v>
                </c:pt>
                <c:pt idx="123">
                  <c:v>113.34883338531267</c:v>
                </c:pt>
                <c:pt idx="124">
                  <c:v>112.70143405501825</c:v>
                </c:pt>
                <c:pt idx="125">
                  <c:v>112.0613880535643</c:v>
                </c:pt>
                <c:pt idx="126">
                  <c:v>111.42857080690996</c:v>
                </c:pt>
                <c:pt idx="127">
                  <c:v>110.80286053912104</c:v>
                </c:pt>
                <c:pt idx="128">
                  <c:v>110.18413819424704</c:v>
                </c:pt>
                <c:pt idx="129">
                  <c:v>108.66714685517277</c:v>
                </c:pt>
                <c:pt idx="130">
                  <c:v>107.19135944541308</c:v>
                </c:pt>
                <c:pt idx="131">
                  <c:v>105.75511971056039</c:v>
                </c:pt>
                <c:pt idx="132">
                  <c:v>104.35685899009329</c:v>
                </c:pt>
                <c:pt idx="133">
                  <c:v>102.99509050224704</c:v>
                </c:pt>
                <c:pt idx="134">
                  <c:v>101.66840407058582</c:v>
                </c:pt>
                <c:pt idx="135">
                  <c:v>99.114990837449199</c:v>
                </c:pt>
                <c:pt idx="136">
                  <c:v>96.686693809495523</c:v>
                </c:pt>
                <c:pt idx="137">
                  <c:v>94.374536933784825</c:v>
                </c:pt>
                <c:pt idx="138">
                  <c:v>92.170382714284656</c:v>
                </c:pt>
                <c:pt idx="139">
                  <c:v>90.066836522607687</c:v>
                </c:pt>
                <c:pt idx="140">
                  <c:v>88.057163719509518</c:v>
                </c:pt>
                <c:pt idx="141">
                  <c:v>86.135217629882348</c:v>
                </c:pt>
                <c:pt idx="142">
                  <c:v>84.295376748436681</c:v>
                </c:pt>
                <c:pt idx="143">
                  <c:v>82.532489824767637</c:v>
                </c:pt>
                <c:pt idx="144">
                  <c:v>81.174396065601329</c:v>
                </c:pt>
                <c:pt idx="145">
                  <c:v>81.174396065601329</c:v>
                </c:pt>
              </c:numCache>
            </c:numRef>
          </c:yVal>
          <c:smooth val="1"/>
        </c:ser>
        <c:ser>
          <c:idx val="3"/>
          <c:order val="4"/>
          <c:tx>
            <c:strRef>
              <c:f>Ver130kHz!$G$25</c:f>
              <c:strCache>
                <c:ptCount val="1"/>
                <c:pt idx="0">
                  <c:v>peak at 230VAC</c:v>
                </c:pt>
              </c:strCache>
            </c:strRef>
          </c:tx>
          <c:spPr>
            <a:ln>
              <a:solidFill>
                <a:srgbClr val="0000CC"/>
              </a:solidFill>
              <a:prstDash val="lgDash"/>
            </a:ln>
          </c:spPr>
          <c:marker>
            <c:symbol val="none"/>
          </c:marker>
          <c:xVal>
            <c:numRef>
              <c:f>Ver130kHz!$V$62:$V$207</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4.6603301964424659</c:v>
                </c:pt>
                <c:pt idx="57">
                  <c:v>4.7293604546039614</c:v>
                </c:pt>
                <c:pt idx="58">
                  <c:v>4.7988982098819495</c:v>
                </c:pt>
                <c:pt idx="59">
                  <c:v>4.9108229888559425</c:v>
                </c:pt>
                <c:pt idx="60">
                  <c:v>5.0450675434899441</c:v>
                </c:pt>
                <c:pt idx="61">
                  <c:v>5.1832804676229944</c:v>
                </c:pt>
                <c:pt idx="62">
                  <c:v>5.3256164281031939</c:v>
                </c:pt>
                <c:pt idx="63">
                  <c:v>5.4722382350755785</c:v>
                </c:pt>
                <c:pt idx="64">
                  <c:v>5.623317385067053</c:v>
                </c:pt>
                <c:pt idx="65">
                  <c:v>5.7790346481215167</c:v>
                </c:pt>
                <c:pt idx="66">
                  <c:v>5.9395807032108179</c:v>
                </c:pt>
                <c:pt idx="67">
                  <c:v>6.1051568266167697</c:v>
                </c:pt>
                <c:pt idx="68">
                  <c:v>6.2759756385087684</c:v>
                </c:pt>
                <c:pt idx="69">
                  <c:v>6.4522619135388455</c:v>
                </c:pt>
                <c:pt idx="70">
                  <c:v>6.6342534619512188</c:v>
                </c:pt>
                <c:pt idx="71">
                  <c:v>6.8222020884682104</c:v>
                </c:pt>
                <c:pt idx="72">
                  <c:v>7.0163746370816389</c:v>
                </c:pt>
                <c:pt idx="73">
                  <c:v>7.2170541308647014</c:v>
                </c:pt>
                <c:pt idx="74">
                  <c:v>7.4245410170416815</c:v>
                </c:pt>
                <c:pt idx="75">
                  <c:v>7.6391545288329024</c:v>
                </c:pt>
                <c:pt idx="76">
                  <c:v>7.8612341770556604</c:v>
                </c:pt>
                <c:pt idx="77">
                  <c:v>8.0911413861375188</c:v>
                </c:pt>
                <c:pt idx="78">
                  <c:v>8.3292612911211581</c:v>
                </c:pt>
                <c:pt idx="79">
                  <c:v>8.5760047144519529</c:v>
                </c:pt>
                <c:pt idx="80">
                  <c:v>8.8318103438881597</c:v>
                </c:pt>
                <c:pt idx="81">
                  <c:v>9.0971471358186431</c:v>
                </c:pt>
                <c:pt idx="82">
                  <c:v>9.3725169716831651</c:v>
                </c:pt>
                <c:pt idx="83">
                  <c:v>9.6584575991484716</c:v>
                </c:pt>
                <c:pt idx="84">
                  <c:v>9.9555458942998687</c:v>
                </c:pt>
                <c:pt idx="85">
                  <c:v>10.264401486482658</c:v>
                </c:pt>
                <c:pt idx="86">
                  <c:v>10.585690793715232</c:v>
                </c:pt>
                <c:pt idx="87">
                  <c:v>10.92013152397227</c:v>
                </c:pt>
                <c:pt idx="88">
                  <c:v>11.268497706315477</c:v>
                </c:pt>
                <c:pt idx="89">
                  <c:v>11.631625326090999</c:v>
                </c:pt>
                <c:pt idx="90">
                  <c:v>12.010418650537265</c:v>
                </c:pt>
                <c:pt idx="91">
                  <c:v>12.405857345545449</c:v>
                </c:pt>
                <c:pt idx="92">
                  <c:v>12.819004501472687</c:v>
                </c:pt>
                <c:pt idx="93">
                  <c:v>13.251015706424461</c:v>
                </c:pt>
                <c:pt idx="94">
                  <c:v>13.703149330045333</c:v>
                </c:pt>
                <c:pt idx="95">
                  <c:v>14.176778210518666</c:v>
                </c:pt>
                <c:pt idx="96">
                  <c:v>14.673402973350566</c:v>
                </c:pt>
                <c:pt idx="97">
                  <c:v>15.194667254079606</c:v>
                </c:pt>
                <c:pt idx="98">
                  <c:v>15.742375150190256</c:v>
                </c:pt>
                <c:pt idx="99">
                  <c:v>16.318511292608061</c:v>
                </c:pt>
                <c:pt idx="100">
                  <c:v>16.925264007288796</c:v>
                </c:pt>
                <c:pt idx="101">
                  <c:v>17.565052136539865</c:v>
                </c:pt>
                <c:pt idx="102">
                  <c:v>18.240556212969402</c:v>
                </c:pt>
                <c:pt idx="103">
                  <c:v>18.954754833051698</c:v>
                </c:pt>
                <c:pt idx="104">
                  <c:v>19.710967271047554</c:v>
                </c:pt>
                <c:pt idx="105">
                  <c:v>20.512903619094633</c:v>
                </c:pt>
                <c:pt idx="106">
                  <c:v>21.364724051255301</c:v>
                </c:pt>
                <c:pt idx="107">
                  <c:v>22.271109209098306</c:v>
                </c:pt>
                <c:pt idx="108">
                  <c:v>23.237344222350515</c:v>
                </c:pt>
                <c:pt idx="109">
                  <c:v>24.269419549044329</c:v>
                </c:pt>
                <c:pt idx="110">
                  <c:v>25.374152698879062</c:v>
                </c:pt>
                <c:pt idx="111">
                  <c:v>26.559336065715264</c:v>
                </c:pt>
                <c:pt idx="112">
                  <c:v>27.833917645113871</c:v>
                </c:pt>
                <c:pt idx="113">
                  <c:v>29.208223499928657</c:v>
                </c:pt>
                <c:pt idx="114">
                  <c:v>30.694233676235282</c:v>
                </c:pt>
                <c:pt idx="115">
                  <c:v>32.305927177101303</c:v>
                </c:pt>
                <c:pt idx="116">
                  <c:v>34.059717036873707</c:v>
                </c:pt>
                <c:pt idx="117">
                  <c:v>35.975004200089806</c:v>
                </c:pt>
                <c:pt idx="118">
                  <c:v>38.074889858299585</c:v>
                </c:pt>
                <c:pt idx="119">
                  <c:v>40.387101781173101</c:v>
                </c:pt>
                <c:pt idx="120">
                  <c:v>42.945213595774334</c:v>
                </c:pt>
                <c:pt idx="121">
                  <c:v>45.790271112012825</c:v>
                </c:pt>
                <c:pt idx="122">
                  <c:v>48.972993572158174</c:v>
                </c:pt>
                <c:pt idx="123">
                  <c:v>52.556801785277472</c:v>
                </c:pt>
                <c:pt idx="124">
                  <c:v>53.599978903939217</c:v>
                </c:pt>
                <c:pt idx="125">
                  <c:v>54.653407320408931</c:v>
                </c:pt>
                <c:pt idx="126">
                  <c:v>55.717087034686536</c:v>
                </c:pt>
                <c:pt idx="127">
                  <c:v>56.791018046772116</c:v>
                </c:pt>
                <c:pt idx="128">
                  <c:v>57.875200356665594</c:v>
                </c:pt>
                <c:pt idx="129">
                  <c:v>60.323570600855106</c:v>
                </c:pt>
                <c:pt idx="130">
                  <c:v>62.288424593394268</c:v>
                </c:pt>
                <c:pt idx="131">
                  <c:v>64.263732424014805</c:v>
                </c:pt>
                <c:pt idx="132">
                  <c:v>66.249087491582728</c:v>
                </c:pt>
                <c:pt idx="133">
                  <c:v>68.244104011368222</c:v>
                </c:pt>
                <c:pt idx="134">
                  <c:v>70.248415699731183</c:v>
                </c:pt>
                <c:pt idx="135">
                  <c:v>74.283549742106047</c:v>
                </c:pt>
                <c:pt idx="136">
                  <c:v>78.351905321083805</c:v>
                </c:pt>
                <c:pt idx="137">
                  <c:v>82.451140993037455</c:v>
                </c:pt>
                <c:pt idx="138">
                  <c:v>86.579130296022868</c:v>
                </c:pt>
                <c:pt idx="139">
                  <c:v>90.733937630010601</c:v>
                </c:pt>
                <c:pt idx="140">
                  <c:v>94.913797313177085</c:v>
                </c:pt>
                <c:pt idx="141">
                  <c:v>99.117095336812028</c:v>
                </c:pt>
                <c:pt idx="142">
                  <c:v>103.34235342169713</c:v>
                </c:pt>
                <c:pt idx="143">
                  <c:v>107.58821504423361</c:v>
                </c:pt>
                <c:pt idx="144">
                  <c:v>110.99889747642061</c:v>
                </c:pt>
                <c:pt idx="145">
                  <c:v>110.99889747642061</c:v>
                </c:pt>
              </c:numCache>
            </c:numRef>
          </c:xVal>
          <c:yVal>
            <c:numRef>
              <c:f>Ver130kHz!$U$62:$U$207</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c:v>
                </c:pt>
                <c:pt idx="57">
                  <c:v>22</c:v>
                </c:pt>
                <c:pt idx="58">
                  <c:v>22</c:v>
                </c:pt>
                <c:pt idx="59">
                  <c:v>22.189229879518557</c:v>
                </c:pt>
                <c:pt idx="60">
                  <c:v>22.4702036802687</c:v>
                </c:pt>
                <c:pt idx="61">
                  <c:v>22.758384469692349</c:v>
                </c:pt>
                <c:pt idx="62">
                  <c:v>23.054053139531728</c:v>
                </c:pt>
                <c:pt idx="63">
                  <c:v>23.357505370638009</c:v>
                </c:pt>
                <c:pt idx="64">
                  <c:v>23.669052619272314</c:v>
                </c:pt>
                <c:pt idx="65">
                  <c:v>23.989023183406701</c:v>
                </c:pt>
                <c:pt idx="66">
                  <c:v>24.317763356699224</c:v>
                </c:pt>
                <c:pt idx="67">
                  <c:v>24.65563867867025</c:v>
                </c:pt>
                <c:pt idx="68">
                  <c:v>25.00303529056821</c:v>
                </c:pt>
                <c:pt idx="69">
                  <c:v>25.360361407497972</c:v>
                </c:pt>
                <c:pt idx="70">
                  <c:v>25.728048918611247</c:v>
                </c:pt>
                <c:pt idx="71">
                  <c:v>26.106555128547161</c:v>
                </c:pt>
                <c:pt idx="72">
                  <c:v>26.496364654886566</c:v>
                </c:pt>
                <c:pt idx="73">
                  <c:v>26.897991498173877</c:v>
                </c:pt>
                <c:pt idx="74">
                  <c:v>27.311981303098399</c:v>
                </c:pt>
                <c:pt idx="75">
                  <c:v>27.738913831752257</c:v>
                </c:pt>
                <c:pt idx="76">
                  <c:v>28.179405672539168</c:v>
                </c:pt>
                <c:pt idx="77">
                  <c:v>28.634113211351725</c:v>
                </c:pt>
                <c:pt idx="78">
                  <c:v>29.103735895126768</c:v>
                </c:pt>
                <c:pt idx="79">
                  <c:v>29.589019821905662</c:v>
                </c:pt>
                <c:pt idx="80">
                  <c:v>30.090761696154988</c:v>
                </c:pt>
                <c:pt idx="81">
                  <c:v>30.609813193451771</c:v>
                </c:pt>
                <c:pt idx="82">
                  <c:v>31.147085784830313</c:v>
                </c:pt>
                <c:pt idx="83">
                  <c:v>31.70355607827641</c:v>
                </c:pt>
                <c:pt idx="84">
                  <c:v>32.280271743220524</c:v>
                </c:pt>
                <c:pt idx="85">
                  <c:v>32.878358093642213</c:v>
                </c:pt>
                <c:pt idx="86">
                  <c:v>33.499025416817254</c:v>
                </c:pt>
                <c:pt idx="87">
                  <c:v>34.143577148135357</c:v>
                </c:pt>
                <c:pt idx="88">
                  <c:v>34.813419008178222</c:v>
                </c:pt>
                <c:pt idx="89">
                  <c:v>35.510069236848246</c:v>
                </c:pt>
                <c:pt idx="90">
                  <c:v>36.235170081357218</c:v>
                </c:pt>
                <c:pt idx="91">
                  <c:v>36.990500721033882</c:v>
                </c:pt>
                <c:pt idx="92">
                  <c:v>37.777991843069685</c:v>
                </c:pt>
                <c:pt idx="93">
                  <c:v>38.599742120582007</c:v>
                </c:pt>
                <c:pt idx="94">
                  <c:v>39.458036889091538</c:v>
                </c:pt>
                <c:pt idx="95">
                  <c:v>40.355369371379176</c:v>
                </c:pt>
                <c:pt idx="96">
                  <c:v>41.294464865839714</c:v>
                </c:pt>
                <c:pt idx="97">
                  <c:v>42.278308392570892</c:v>
                </c:pt>
                <c:pt idx="98">
                  <c:v>43.310176387937673</c:v>
                </c:pt>
                <c:pt idx="99">
                  <c:v>44.393673156580789</c:v>
                </c:pt>
                <c:pt idx="100">
                  <c:v>45.532772935370318</c:v>
                </c:pt>
                <c:pt idx="101">
                  <c:v>46.731868603829348</c:v>
                </c:pt>
                <c:pt idx="102">
                  <c:v>47.995828299400848</c:v>
                </c:pt>
                <c:pt idx="103">
                  <c:v>49.330061475780631</c:v>
                </c:pt>
                <c:pt idx="104">
                  <c:v>50.740596294410743</c:v>
                </c:pt>
                <c:pt idx="105">
                  <c:v>52.234170684312204</c:v>
                </c:pt>
                <c:pt idx="106">
                  <c:v>53.818339972012524</c:v>
                </c:pt>
                <c:pt idx="107">
                  <c:v>55.501604709382931</c:v>
                </c:pt>
                <c:pt idx="108">
                  <c:v>57.293563264238863</c:v>
                </c:pt>
                <c:pt idx="109">
                  <c:v>59.205094956965887</c:v>
                </c:pt>
                <c:pt idx="110">
                  <c:v>61.248581123323298</c:v>
                </c:pt>
                <c:pt idx="111">
                  <c:v>63.438173594259723</c:v>
                </c:pt>
                <c:pt idx="112">
                  <c:v>65.790122898531038</c:v>
                </c:pt>
                <c:pt idx="113">
                  <c:v>68.323182284303002</c:v>
                </c:pt>
                <c:pt idx="114">
                  <c:v>71.059108812352306</c:v>
                </c:pt>
                <c:pt idx="115">
                  <c:v>74.023289865784008</c:v>
                </c:pt>
                <c:pt idx="116">
                  <c:v>77.245533292043987</c:v>
                </c:pt>
                <c:pt idx="117">
                  <c:v>80.761073306990667</c:v>
                </c:pt>
                <c:pt idx="118">
                  <c:v>84.611864175690584</c:v>
                </c:pt>
                <c:pt idx="119">
                  <c:v>88.848262530005158</c:v>
                </c:pt>
                <c:pt idx="120">
                  <c:v>93.531241711765645</c:v>
                </c:pt>
                <c:pt idx="121">
                  <c:v>98.735345355878977</c:v>
                </c:pt>
                <c:pt idx="122">
                  <c:v>104.55268509777957</c:v>
                </c:pt>
                <c:pt idx="123">
                  <c:v>111.09843999342985</c:v>
                </c:pt>
                <c:pt idx="124">
                  <c:v>111.09843999342976</c:v>
                </c:pt>
                <c:pt idx="125">
                  <c:v>111.09843999342976</c:v>
                </c:pt>
                <c:pt idx="126">
                  <c:v>111.09843999342976</c:v>
                </c:pt>
                <c:pt idx="127">
                  <c:v>111.09843999342976</c:v>
                </c:pt>
                <c:pt idx="128">
                  <c:v>111.09843999342976</c:v>
                </c:pt>
                <c:pt idx="129">
                  <c:v>110.53601692357235</c:v>
                </c:pt>
                <c:pt idx="130">
                  <c:v>109.06477131558137</c:v>
                </c:pt>
                <c:pt idx="131">
                  <c:v>107.63217612346716</c:v>
                </c:pt>
                <c:pt idx="132">
                  <c:v>106.2367280426251</c:v>
                </c:pt>
                <c:pt idx="133">
                  <c:v>104.87700073182707</c:v>
                </c:pt>
                <c:pt idx="134">
                  <c:v>103.55163995018016</c:v>
                </c:pt>
                <c:pt idx="135">
                  <c:v>100.99893485170311</c:v>
                </c:pt>
                <c:pt idx="136">
                  <c:v>98.56905796194458</c:v>
                </c:pt>
                <c:pt idx="137">
                  <c:v>96.253352386735116</c:v>
                </c:pt>
                <c:pt idx="138">
                  <c:v>94.043956072171923</c:v>
                </c:pt>
                <c:pt idx="139">
                  <c:v>91.933712627890969</c:v>
                </c:pt>
                <c:pt idx="140">
                  <c:v>89.916093893014789</c:v>
                </c:pt>
                <c:pt idx="141">
                  <c:v>87.985132479546962</c:v>
                </c:pt>
                <c:pt idx="142">
                  <c:v>86.135362824875557</c:v>
                </c:pt>
                <c:pt idx="143">
                  <c:v>84.361769526921961</c:v>
                </c:pt>
                <c:pt idx="144">
                  <c:v>82.994630954338049</c:v>
                </c:pt>
                <c:pt idx="145">
                  <c:v>82.994630954338049</c:v>
                </c:pt>
              </c:numCache>
            </c:numRef>
          </c:yVal>
          <c:smooth val="1"/>
        </c:ser>
        <c:ser>
          <c:idx val="4"/>
          <c:order val="5"/>
          <c:tx>
            <c:strRef>
              <c:f>Ver130kHz!$G$26</c:f>
              <c:strCache>
                <c:ptCount val="1"/>
                <c:pt idx="0">
                  <c:v>peak at 264VAC</c:v>
                </c:pt>
              </c:strCache>
            </c:strRef>
          </c:tx>
          <c:spPr>
            <a:ln>
              <a:solidFill>
                <a:srgbClr val="0000CC"/>
              </a:solidFill>
            </a:ln>
          </c:spPr>
          <c:marker>
            <c:symbol val="none"/>
          </c:marker>
          <c:xVal>
            <c:numRef>
              <c:f>Ver130kHz!$Z$62:$Z$207</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4.6603301964424659</c:v>
                </c:pt>
                <c:pt idx="57">
                  <c:v>4.7293604546039614</c:v>
                </c:pt>
                <c:pt idx="58">
                  <c:v>4.7988982098819495</c:v>
                </c:pt>
                <c:pt idx="59">
                  <c:v>4.9015273382129774</c:v>
                </c:pt>
                <c:pt idx="60">
                  <c:v>5.0353970893832773</c:v>
                </c:pt>
                <c:pt idx="61">
                  <c:v>5.1732179110027614</c:v>
                </c:pt>
                <c:pt idx="62">
                  <c:v>5.3151434928609138</c:v>
                </c:pt>
                <c:pt idx="63">
                  <c:v>5.4613356004796376</c:v>
                </c:pt>
                <c:pt idx="64">
                  <c:v>5.6119646126049068</c:v>
                </c:pt>
                <c:pt idx="65">
                  <c:v>5.7672101022057394</c:v>
                </c:pt>
                <c:pt idx="66">
                  <c:v>5.9272614651453956</c:v>
                </c:pt>
                <c:pt idx="67">
                  <c:v>6.0923186011515522</c:v>
                </c:pt>
                <c:pt idx="68">
                  <c:v>6.2625926522327342</c:v>
                </c:pt>
                <c:pt idx="69">
                  <c:v>6.4383068042754337</c:v>
                </c:pt>
                <c:pt idx="70">
                  <c:v>6.6196971582199771</c:v>
                </c:pt>
                <c:pt idx="71">
                  <c:v>6.8070136779647106</c:v>
                </c:pt>
                <c:pt idx="72">
                  <c:v>7.0005212229999332</c:v>
                </c:pt>
                <c:pt idx="73">
                  <c:v>7.2005006747412414</c:v>
                </c:pt>
                <c:pt idx="74">
                  <c:v>7.4072501666337471</c:v>
                </c:pt>
                <c:pt idx="75">
                  <c:v>7.621086429355068</c:v>
                </c:pt>
                <c:pt idx="76">
                  <c:v>7.8423462638806951</c:v>
                </c:pt>
                <c:pt idx="77">
                  <c:v>8.0713881568189958</c:v>
                </c:pt>
                <c:pt idx="78">
                  <c:v>8.3085940543085108</c:v>
                </c:pt>
                <c:pt idx="79">
                  <c:v>8.5543713129384678</c:v>
                </c:pt>
                <c:pt idx="80">
                  <c:v>8.8091548486509925</c:v>
                </c:pt>
                <c:pt idx="81">
                  <c:v>9.073409507468277</c:v>
                </c:pt>
                <c:pt idx="82">
                  <c:v>9.3476326852271558</c:v>
                </c:pt>
                <c:pt idx="83">
                  <c:v>9.6323572273781277</c:v>
                </c:pt>
                <c:pt idx="84">
                  <c:v>9.9281546444128921</c:v>
                </c:pt>
                <c:pt idx="85">
                  <c:v>10.235638683741493</c:v>
                </c:pt>
                <c:pt idx="86">
                  <c:v>10.555469304987025</c:v>
                </c:pt>
                <c:pt idx="87">
                  <c:v>10.88835711287469</c:v>
                </c:pt>
                <c:pt idx="88">
                  <c:v>11.235068310369726</c:v>
                </c:pt>
                <c:pt idx="89">
                  <c:v>11.596430244718295</c:v>
                </c:pt>
                <c:pt idx="90">
                  <c:v>11.973337630877669</c:v>
                </c:pt>
                <c:pt idx="91">
                  <c:v>12.36675955086654</c:v>
                </c:pt>
                <c:pt idx="92">
                  <c:v>12.777747344293219</c:v>
                </c:pt>
                <c:pt idx="93">
                  <c:v>13.207443525310479</c:v>
                </c:pt>
                <c:pt idx="94">
                  <c:v>13.657091885223785</c:v>
                </c:pt>
                <c:pt idx="95">
                  <c:v>14.128048968848223</c:v>
                </c:pt>
                <c:pt idx="96">
                  <c:v>14.621797147603383</c:v>
                </c:pt>
                <c:pt idx="97">
                  <c:v>15.139959554684125</c:v>
                </c:pt>
                <c:pt idx="98">
                  <c:v>15.68431719926205</c:v>
                </c:pt>
                <c:pt idx="99">
                  <c:v>16.256828639866921</c:v>
                </c:pt>
                <c:pt idx="100">
                  <c:v>16.859652674829526</c:v>
                </c:pt>
                <c:pt idx="101">
                  <c:v>17.495174603748538</c:v>
                </c:pt>
                <c:pt idx="102">
                  <c:v>18.166036733319586</c:v>
                </c:pt>
                <c:pt idx="103">
                  <c:v>18.875173949979985</c:v>
                </c:pt>
                <c:pt idx="104">
                  <c:v>19.62585536914753</c:v>
                </c:pt>
                <c:pt idx="105">
                  <c:v>20.421733307561055</c:v>
                </c:pt>
                <c:pt idx="106">
                  <c:v>21.266901126280725</c:v>
                </c:pt>
                <c:pt idx="107">
                  <c:v>22.165961877298997</c:v>
                </c:pt>
                <c:pt idx="108">
                  <c:v>23.124110183547593</c:v>
                </c:pt>
                <c:pt idx="109">
                  <c:v>24.14723042735617</c:v>
                </c:pt>
                <c:pt idx="110">
                  <c:v>25.242015167089761</c:v>
                </c:pt>
                <c:pt idx="111">
                  <c:v>26.416108816666711</c:v>
                </c:pt>
                <c:pt idx="112">
                  <c:v>27.678283107587614</c:v>
                </c:pt>
                <c:pt idx="113">
                  <c:v>29.038652849604556</c:v>
                </c:pt>
                <c:pt idx="114">
                  <c:v>30.508943217842987</c:v>
                </c:pt>
                <c:pt idx="115">
                  <c:v>32.102823517515446</c:v>
                </c:pt>
                <c:pt idx="116">
                  <c:v>33.836327549816524</c:v>
                </c:pt>
                <c:pt idx="117">
                  <c:v>35.728387979160509</c:v>
                </c:pt>
                <c:pt idx="118">
                  <c:v>37.801522478674627</c:v>
                </c:pt>
                <c:pt idx="119">
                  <c:v>40.082724448327745</c:v>
                </c:pt>
                <c:pt idx="120">
                  <c:v>42.604633184845703</c:v>
                </c:pt>
                <c:pt idx="121">
                  <c:v>45.407091434027969</c:v>
                </c:pt>
                <c:pt idx="122">
                  <c:v>48.53924867839185</c:v>
                </c:pt>
                <c:pt idx="123">
                  <c:v>52.062447079374181</c:v>
                </c:pt>
                <c:pt idx="124">
                  <c:v>53.09581196631359</c:v>
                </c:pt>
                <c:pt idx="125">
                  <c:v>54.139331726295012</c:v>
                </c:pt>
                <c:pt idx="126">
                  <c:v>55.193006359318325</c:v>
                </c:pt>
                <c:pt idx="127">
                  <c:v>56.256835865383643</c:v>
                </c:pt>
                <c:pt idx="128">
                  <c:v>57.330820244490866</c:v>
                </c:pt>
                <c:pt idx="129">
                  <c:v>60.060208761817456</c:v>
                </c:pt>
                <c:pt idx="130">
                  <c:v>62.297426214166194</c:v>
                </c:pt>
                <c:pt idx="131">
                  <c:v>64.273103468343962</c:v>
                </c:pt>
                <c:pt idx="132">
                  <c:v>66.258832355083968</c:v>
                </c:pt>
                <c:pt idx="133">
                  <c:v>68.254226957787736</c:v>
                </c:pt>
                <c:pt idx="134">
                  <c:v>70.25892086577015</c:v>
                </c:pt>
                <c:pt idx="135">
                  <c:v>74.294831272307633</c:v>
                </c:pt>
                <c:pt idx="136">
                  <c:v>78.363978350206153</c:v>
                </c:pt>
                <c:pt idx="137">
                  <c:v>82.464019794749163</c:v>
                </c:pt>
                <c:pt idx="138">
                  <c:v>86.592828343522029</c:v>
                </c:pt>
                <c:pt idx="139">
                  <c:v>90.74846765186507</c:v>
                </c:pt>
                <c:pt idx="140">
                  <c:v>94.929171344755161</c:v>
                </c:pt>
                <c:pt idx="141">
                  <c:v>99.133324767654884</c:v>
                </c:pt>
                <c:pt idx="142">
                  <c:v>103.35944903916429</c:v>
                </c:pt>
                <c:pt idx="143">
                  <c:v>107.60618707373024</c:v>
                </c:pt>
                <c:pt idx="144">
                  <c:v>111.01757764395551</c:v>
                </c:pt>
                <c:pt idx="145">
                  <c:v>111.01757764395551</c:v>
                </c:pt>
              </c:numCache>
            </c:numRef>
          </c:xVal>
          <c:yVal>
            <c:numRef>
              <c:f>Ver130kHz!$Y$62:$Y$207</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c:v>
                </c:pt>
                <c:pt idx="57">
                  <c:v>22</c:v>
                </c:pt>
                <c:pt idx="58">
                  <c:v>22</c:v>
                </c:pt>
                <c:pt idx="59">
                  <c:v>22.147228094998013</c:v>
                </c:pt>
                <c:pt idx="60">
                  <c:v>22.427132488142071</c:v>
                </c:pt>
                <c:pt idx="61">
                  <c:v>22.71420250158512</c:v>
                </c:pt>
                <c:pt idx="62">
                  <c:v>23.008716865531913</c:v>
                </c:pt>
                <c:pt idx="63">
                  <c:v>23.310968956251571</c:v>
                </c:pt>
                <c:pt idx="64">
                  <c:v>23.621267770866861</c:v>
                </c:pt>
                <c:pt idx="65">
                  <c:v>23.939938981047916</c:v>
                </c:pt>
                <c:pt idx="66">
                  <c:v>24.267326073163733</c:v>
                </c:pt>
                <c:pt idx="67">
                  <c:v>24.603791583282675</c:v>
                </c:pt>
                <c:pt idx="68">
                  <c:v>24.949718436356779</c:v>
                </c:pt>
                <c:pt idx="69">
                  <c:v>25.305511399989967</c:v>
                </c:pt>
                <c:pt idx="70">
                  <c:v>25.671598664393585</c:v>
                </c:pt>
                <c:pt idx="71">
                  <c:v>26.048433561495536</c:v>
                </c:pt>
                <c:pt idx="72">
                  <c:v>26.436496437714442</c:v>
                </c:pt>
                <c:pt idx="73">
                  <c:v>26.83629669666615</c:v>
                </c:pt>
                <c:pt idx="74">
                  <c:v>27.248375030067887</c:v>
                </c:pt>
                <c:pt idx="75">
                  <c:v>27.673305857384474</c:v>
                </c:pt>
                <c:pt idx="76">
                  <c:v>28.111699997364333</c:v>
                </c:pt>
                <c:pt idx="77">
                  <c:v>28.564207597594262</c:v>
                </c:pt>
                <c:pt idx="78">
                  <c:v>29.031521351621148</c:v>
                </c:pt>
                <c:pt idx="79">
                  <c:v>29.514380037121132</c:v>
                </c:pt>
                <c:pt idx="80">
                  <c:v>30.013572413126315</c:v>
                </c:pt>
                <c:pt idx="81">
                  <c:v>30.52994151955091</c:v>
                </c:pt>
                <c:pt idx="82">
                  <c:v>31.064389428314634</c:v>
                </c:pt>
                <c:pt idx="83">
                  <c:v>31.617882502388078</c:v>
                </c:pt>
                <c:pt idx="84">
                  <c:v>32.191457227258695</c:v>
                </c:pt>
                <c:pt idx="85">
                  <c:v>32.786226688850014</c:v>
                </c:pt>
                <c:pt idx="86">
                  <c:v>33.403387783074791</c:v>
                </c:pt>
                <c:pt idx="87">
                  <c:v>34.044229255276633</c:v>
                </c:pt>
                <c:pt idx="88">
                  <c:v>34.710140683189309</c:v>
                </c:pt>
                <c:pt idx="89">
                  <c:v>35.402622535178971</c:v>
                </c:pt>
                <c:pt idx="90">
                  <c:v>36.123297456992418</c:v>
                </c:pt>
                <c:pt idx="91">
                  <c:v>36.873922965706043</c:v>
                </c:pt>
                <c:pt idx="92">
                  <c:v>37.656405759905802</c:v>
                </c:pt>
                <c:pt idx="93">
                  <c:v>38.472817891383819</c:v>
                </c:pt>
                <c:pt idx="94">
                  <c:v>39.325415087123631</c:v>
                </c:pt>
                <c:pt idx="95">
                  <c:v>40.216657562701883</c:v>
                </c:pt>
                <c:pt idx="96">
                  <c:v>41.149233731517292</c:v>
                </c:pt>
                <c:pt idx="97">
                  <c:v>42.12608729106114</c:v>
                </c:pt>
                <c:pt idx="98">
                  <c:v>43.150448261055089</c:v>
                </c:pt>
                <c:pt idx="99">
                  <c:v>44.225868662891372</c:v>
                </c:pt>
                <c:pt idx="100">
                  <c:v>45.356263670784045</c:v>
                </c:pt>
                <c:pt idx="101">
                  <c:v>46.545959239292308</c:v>
                </c:pt>
                <c:pt idx="102">
                  <c:v>47.799747428375099</c:v>
                </c:pt>
                <c:pt idx="103">
                  <c:v>49.122950917569703</c:v>
                </c:pt>
                <c:pt idx="104">
                  <c:v>50.521498540618516</c:v>
                </c:pt>
                <c:pt idx="105">
                  <c:v>52.002014101196693</c:v>
                </c:pt>
                <c:pt idx="106">
                  <c:v>53.571921276376294</c:v>
                </c:pt>
                <c:pt idx="107">
                  <c:v>55.239568113406499</c:v>
                </c:pt>
                <c:pt idx="108">
                  <c:v>57.014375526443061</c:v>
                </c:pt>
                <c:pt idx="109">
                  <c:v>58.907015370116419</c:v>
                </c:pt>
                <c:pt idx="110">
                  <c:v>60.929625198714618</c:v>
                </c:pt>
                <c:pt idx="111">
                  <c:v>63.09606884186347</c:v>
                </c:pt>
                <c:pt idx="112">
                  <c:v>65.422254620638583</c:v>
                </c:pt>
                <c:pt idx="113">
                  <c:v>67.926526648872468</c:v>
                </c:pt>
                <c:pt idx="114">
                  <c:v>70.630149582300476</c:v>
                </c:pt>
                <c:pt idx="115">
                  <c:v>73.557913930776579</c:v>
                </c:pt>
                <c:pt idx="116">
                  <c:v>76.738898429491059</c:v>
                </c:pt>
                <c:pt idx="117">
                  <c:v>80.207439161838451</c:v>
                </c:pt>
                <c:pt idx="118">
                  <c:v>84.004373945752349</c:v>
                </c:pt>
                <c:pt idx="119">
                  <c:v>88.178657730845416</c:v>
                </c:pt>
                <c:pt idx="120">
                  <c:v>92.7894848064049</c:v>
                </c:pt>
                <c:pt idx="121">
                  <c:v>97.909113562085039</c:v>
                </c:pt>
                <c:pt idx="122">
                  <c:v>103.62668098851675</c:v>
                </c:pt>
                <c:pt idx="123">
                  <c:v>110.05343659208795</c:v>
                </c:pt>
                <c:pt idx="124">
                  <c:v>110.05343659208785</c:v>
                </c:pt>
                <c:pt idx="125">
                  <c:v>110.05343659208785</c:v>
                </c:pt>
                <c:pt idx="126">
                  <c:v>110.05343659208785</c:v>
                </c:pt>
                <c:pt idx="127">
                  <c:v>110.05343659208785</c:v>
                </c:pt>
                <c:pt idx="128">
                  <c:v>110.05343659208785</c:v>
                </c:pt>
                <c:pt idx="129">
                  <c:v>110.05343659208785</c:v>
                </c:pt>
                <c:pt idx="130">
                  <c:v>109.08053282692747</c:v>
                </c:pt>
                <c:pt idx="131">
                  <c:v>107.64787122637591</c:v>
                </c:pt>
                <c:pt idx="132">
                  <c:v>106.25235486033374</c:v>
                </c:pt>
                <c:pt idx="133">
                  <c:v>104.89255759603427</c:v>
                </c:pt>
                <c:pt idx="134">
                  <c:v>103.56712538370132</c:v>
                </c:pt>
                <c:pt idx="135">
                  <c:v>101.01427367891068</c:v>
                </c:pt>
                <c:pt idx="136">
                  <c:v>98.58424619639095</c:v>
                </c:pt>
                <c:pt idx="137">
                  <c:v>96.268387082732602</c:v>
                </c:pt>
                <c:pt idx="138">
                  <c:v>94.05883516108031</c:v>
                </c:pt>
                <c:pt idx="139">
                  <c:v>91.948434780246942</c:v>
                </c:pt>
                <c:pt idx="140">
                  <c:v>89.930658402138022</c:v>
                </c:pt>
                <c:pt idx="141">
                  <c:v>87.999539163055232</c:v>
                </c:pt>
                <c:pt idx="142">
                  <c:v>86.149611941181632</c:v>
                </c:pt>
                <c:pt idx="143">
                  <c:v>84.375861704301272</c:v>
                </c:pt>
                <c:pt idx="144">
                  <c:v>83.008598242716332</c:v>
                </c:pt>
                <c:pt idx="145">
                  <c:v>83.008598242716332</c:v>
                </c:pt>
              </c:numCache>
            </c:numRef>
          </c:yVal>
          <c:smooth val="1"/>
        </c:ser>
        <c:ser>
          <c:idx val="17"/>
          <c:order val="6"/>
          <c:tx>
            <c:v>Vcslimit(OLP)</c:v>
          </c:tx>
          <c:spPr>
            <a:ln>
              <a:solidFill>
                <a:srgbClr val="FF0000"/>
              </a:solidFill>
              <a:prstDash val="dash"/>
            </a:ln>
          </c:spPr>
          <c:marker>
            <c:symbol val="none"/>
          </c:marker>
          <c:dPt>
            <c:idx val="1"/>
            <c:bubble3D val="0"/>
            <c:spPr>
              <a:ln w="19050">
                <a:solidFill>
                  <a:srgbClr val="FF0000"/>
                </a:solidFill>
                <a:prstDash val="sysDash"/>
              </a:ln>
            </c:spPr>
          </c:dPt>
          <c:xVal>
            <c:numRef>
              <c:f>(Ver130kHz!$J$204,Ver130kHz!$J$208)</c:f>
              <c:numCache>
                <c:formatCode>0.00</c:formatCode>
                <c:ptCount val="2"/>
                <c:pt idx="0">
                  <c:v>54.53141187915903</c:v>
                </c:pt>
                <c:pt idx="1">
                  <c:v>54.53141187915903</c:v>
                </c:pt>
              </c:numCache>
            </c:numRef>
          </c:xVal>
          <c:yVal>
            <c:numRef>
              <c:f>(Ver130kHz!$I$204,Ver130kHz!$I$208)</c:f>
              <c:numCache>
                <c:formatCode>General</c:formatCode>
                <c:ptCount val="2"/>
                <c:pt idx="0" formatCode="0.00">
                  <c:v>45.451673897895972</c:v>
                </c:pt>
                <c:pt idx="1">
                  <c:v>0</c:v>
                </c:pt>
              </c:numCache>
            </c:numRef>
          </c:yVal>
          <c:smooth val="1"/>
        </c:ser>
        <c:dLbls>
          <c:showLegendKey val="0"/>
          <c:showVal val="0"/>
          <c:showCatName val="0"/>
          <c:showSerName val="0"/>
          <c:showPercent val="0"/>
          <c:showBubbleSize val="0"/>
        </c:dLbls>
        <c:axId val="148062208"/>
        <c:axId val="148064128"/>
      </c:scatterChart>
      <c:valAx>
        <c:axId val="148062208"/>
        <c:scaling>
          <c:orientation val="minMax"/>
          <c:max val="80"/>
          <c:min val="0"/>
        </c:scaling>
        <c:delete val="0"/>
        <c:axPos val="b"/>
        <c:majorGridlines/>
        <c:minorGridlines/>
        <c:title>
          <c:tx>
            <c:rich>
              <a:bodyPr/>
              <a:lstStyle/>
              <a:p>
                <a:pPr>
                  <a:defRPr sz="1600"/>
                </a:pPr>
                <a:r>
                  <a:rPr lang="en-US" altLang="zh-TW" sz="1600"/>
                  <a:t>Output</a:t>
                </a:r>
                <a:r>
                  <a:rPr lang="en-US" altLang="zh-TW" sz="1600" baseline="0"/>
                  <a:t> Power</a:t>
                </a:r>
                <a:r>
                  <a:rPr lang="en-US" altLang="zh-TW" sz="1600"/>
                  <a:t> (W)</a:t>
                </a:r>
                <a:endParaRPr lang="zh-TW" altLang="en-US" sz="1600"/>
              </a:p>
            </c:rich>
          </c:tx>
          <c:layout>
            <c:manualLayout>
              <c:xMode val="edge"/>
              <c:yMode val="edge"/>
              <c:x val="0.40986321760487143"/>
              <c:y val="0.92453191323246353"/>
            </c:manualLayout>
          </c:layout>
          <c:overlay val="0"/>
        </c:title>
        <c:numFmt formatCode="General" sourceLinked="0"/>
        <c:majorTickMark val="none"/>
        <c:minorTickMark val="in"/>
        <c:tickLblPos val="nextTo"/>
        <c:txPr>
          <a:bodyPr/>
          <a:lstStyle/>
          <a:p>
            <a:pPr>
              <a:defRPr sz="1200"/>
            </a:pPr>
            <a:endParaRPr lang="en-US"/>
          </a:p>
        </c:txPr>
        <c:crossAx val="148064128"/>
        <c:crosses val="autoZero"/>
        <c:crossBetween val="midCat"/>
        <c:majorUnit val="5"/>
        <c:minorUnit val="5"/>
      </c:valAx>
      <c:valAx>
        <c:axId val="148064128"/>
        <c:scaling>
          <c:orientation val="minMax"/>
        </c:scaling>
        <c:delete val="0"/>
        <c:axPos val="l"/>
        <c:majorGridlines/>
        <c:title>
          <c:tx>
            <c:rich>
              <a:bodyPr/>
              <a:lstStyle/>
              <a:p>
                <a:pPr>
                  <a:defRPr sz="1600"/>
                </a:pPr>
                <a:r>
                  <a:rPr lang="en-US" altLang="zh-TW" sz="1600"/>
                  <a:t>FSW (KHz)</a:t>
                </a:r>
                <a:endParaRPr lang="zh-TW" altLang="en-US" sz="1600"/>
              </a:p>
            </c:rich>
          </c:tx>
          <c:layout>
            <c:manualLayout>
              <c:xMode val="edge"/>
              <c:yMode val="edge"/>
              <c:x val="1.3263270709367619E-2"/>
              <c:y val="0.42225663411068759"/>
            </c:manualLayout>
          </c:layout>
          <c:overlay val="0"/>
        </c:title>
        <c:numFmt formatCode="#,##0_);\(#,##0\)" sourceLinked="0"/>
        <c:majorTickMark val="none"/>
        <c:minorTickMark val="none"/>
        <c:tickLblPos val="nextTo"/>
        <c:txPr>
          <a:bodyPr/>
          <a:lstStyle/>
          <a:p>
            <a:pPr>
              <a:defRPr sz="1200"/>
            </a:pPr>
            <a:endParaRPr lang="en-US"/>
          </a:p>
        </c:txPr>
        <c:crossAx val="148062208"/>
        <c:crosses val="autoZero"/>
        <c:crossBetween val="midCat"/>
        <c:majorUnit val="10"/>
      </c:valAx>
    </c:plotArea>
    <c:legend>
      <c:legendPos val="r"/>
      <c:layout>
        <c:manualLayout>
          <c:xMode val="edge"/>
          <c:yMode val="edge"/>
          <c:x val="0.71227205454691322"/>
          <c:y val="0.57746410168313844"/>
          <c:w val="0.23715007620633335"/>
          <c:h val="0.28088691508075103"/>
        </c:manualLayout>
      </c:layout>
      <c:overlay val="1"/>
      <c:spPr>
        <a:solidFill>
          <a:schemeClr val="bg1">
            <a:alpha val="80000"/>
          </a:schemeClr>
        </a:solidFill>
        <a:ln>
          <a:noFill/>
        </a:ln>
      </c:spPr>
      <c:txPr>
        <a:bodyPr/>
        <a:lstStyle/>
        <a:p>
          <a:pPr>
            <a:defRPr sz="1200"/>
          </a:pPr>
          <a:endParaRPr lang="en-US"/>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a:pPr>
            <a:r>
              <a:rPr lang="en-US" sz="1800"/>
              <a:t>Frequency Curve (i-ACF)</a:t>
            </a:r>
          </a:p>
        </c:rich>
      </c:tx>
      <c:layout>
        <c:manualLayout>
          <c:xMode val="edge"/>
          <c:yMode val="edge"/>
          <c:x val="0.39616481276782517"/>
          <c:y val="1.0557943812061031E-2"/>
        </c:manualLayout>
      </c:layout>
      <c:overlay val="0"/>
    </c:title>
    <c:autoTitleDeleted val="0"/>
    <c:plotArea>
      <c:layout>
        <c:manualLayout>
          <c:layoutTarget val="inner"/>
          <c:xMode val="edge"/>
          <c:yMode val="edge"/>
          <c:x val="0.13034994274335077"/>
          <c:y val="8.4779432384545772E-2"/>
          <c:w val="0.82712210361229599"/>
          <c:h val="0.77794459280315087"/>
        </c:manualLayout>
      </c:layout>
      <c:scatterChart>
        <c:scatterStyle val="smoothMarker"/>
        <c:varyColors val="0"/>
        <c:ser>
          <c:idx val="2"/>
          <c:order val="0"/>
          <c:tx>
            <c:v>Upper Bound</c:v>
          </c:tx>
          <c:spPr>
            <a:ln>
              <a:solidFill>
                <a:srgbClr val="CC9900"/>
              </a:solidFill>
              <a:prstDash val="lgDash"/>
            </a:ln>
          </c:spPr>
          <c:marker>
            <c:symbol val="none"/>
          </c:marker>
          <c:xVal>
            <c:numRef>
              <c:f>Ver130kHz!$F$214:$F$359</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4.6659984042518658</c:v>
                </c:pt>
                <c:pt idx="57">
                  <c:v>4.7946270126310253</c:v>
                </c:pt>
                <c:pt idx="58">
                  <c:v>4.9270512263163555</c:v>
                </c:pt>
                <c:pt idx="59">
                  <c:v>5.0634178536063903</c:v>
                </c:pt>
                <c:pt idx="60">
                  <c:v>5.2038813727861086</c:v>
                </c:pt>
                <c:pt idx="61">
                  <c:v>5.3486044396530383</c:v>
                </c:pt>
                <c:pt idx="62">
                  <c:v>5.4977584358837088</c:v>
                </c:pt>
                <c:pt idx="63">
                  <c:v>5.6515240621266782</c:v>
                </c:pt>
                <c:pt idx="64">
                  <c:v>5.8100919801368613</c:v>
                </c:pt>
                <c:pt idx="65">
                  <c:v>5.9736635087482002</c:v>
                </c:pt>
                <c:pt idx="66">
                  <c:v>6.1424513790256245</c:v>
                </c:pt>
                <c:pt idx="67">
                  <c:v>6.3166805545513975</c:v>
                </c:pt>
                <c:pt idx="68">
                  <c:v>6.4965891234959194</c:v>
                </c:pt>
                <c:pt idx="69">
                  <c:v>6.6824292699103633</c:v>
                </c:pt>
                <c:pt idx="70">
                  <c:v>6.8744683325724552</c:v>
                </c:pt>
                <c:pt idx="71">
                  <c:v>7.0729899607333753</c:v>
                </c:pt>
                <c:pt idx="72">
                  <c:v>7.278295377271907</c:v>
                </c:pt>
                <c:pt idx="73">
                  <c:v>7.4907047610844222</c:v>
                </c:pt>
                <c:pt idx="74">
                  <c:v>7.7105587620517904</c:v>
                </c:pt>
                <c:pt idx="75">
                  <c:v>7.9382201636578982</c:v>
                </c:pt>
                <c:pt idx="76">
                  <c:v>8.1740757103258552</c:v>
                </c:pt>
                <c:pt idx="77">
                  <c:v>8.4185381188301402</c:v>
                </c:pt>
                <c:pt idx="78">
                  <c:v>8.6720482957872136</c:v>
                </c:pt>
                <c:pt idx="79">
                  <c:v>8.935077786285424</c:v>
                </c:pt>
                <c:pt idx="80">
                  <c:v>9.2081314822590965</c:v>
                </c:pt>
                <c:pt idx="81">
                  <c:v>9.4917506233305389</c:v>
                </c:pt>
                <c:pt idx="82">
                  <c:v>9.7865161276417272</c:v>
                </c:pt>
                <c:pt idx="83">
                  <c:v>10.093052295801424</c:v>
                </c:pt>
                <c:pt idx="84">
                  <c:v>10.412030937637311</c:v>
                </c:pt>
                <c:pt idx="85">
                  <c:v>10.744175979152253</c:v>
                </c:pt>
                <c:pt idx="86">
                  <c:v>11.090268616165266</c:v>
                </c:pt>
                <c:pt idx="87">
                  <c:v>11.451153091848713</c:v>
                </c:pt>
                <c:pt idx="88">
                  <c:v>11.827743188092837</c:v>
                </c:pt>
                <c:pt idx="89">
                  <c:v>12.221029535754868</c:v>
                </c:pt>
                <c:pt idx="90">
                  <c:v>12.632087866900424</c:v>
                </c:pt>
                <c:pt idx="91">
                  <c:v>13.062088353760236</c:v>
                </c:pt>
                <c:pt idx="92">
                  <c:v>13.512306205106551</c:v>
                </c:pt>
                <c:pt idx="93">
                  <c:v>13.984133722102321</c:v>
                </c:pt>
                <c:pt idx="94">
                  <c:v>14.479094053654226</c:v>
                </c:pt>
                <c:pt idx="95">
                  <c:v>14.998856937501628</c:v>
                </c:pt>
                <c:pt idx="96">
                  <c:v>15.545256769726608</c:v>
                </c:pt>
                <c:pt idx="97">
                  <c:v>16.120313414664913</c:v>
                </c:pt>
                <c:pt idx="98">
                  <c:v>16.726256252665241</c:v>
                </c:pt>
                <c:pt idx="99">
                  <c:v>17.365552069089734</c:v>
                </c:pt>
                <c:pt idx="100">
                  <c:v>18.040937519973536</c:v>
                </c:pt>
                <c:pt idx="101">
                  <c:v>18.755457075197171</c:v>
                </c:pt>
                <c:pt idx="102">
                  <c:v>19.512507548542541</c:v>
                </c:pt>
                <c:pt idx="103">
                  <c:v>20.315890588433557</c:v>
                </c:pt>
                <c:pt idx="104">
                  <c:v>21.169874840680745</c:v>
                </c:pt>
                <c:pt idx="105">
                  <c:v>22.079269928308882</c:v>
                </c:pt>
                <c:pt idx="106">
                  <c:v>23.049514955040749</c:v>
                </c:pt>
                <c:pt idx="107">
                  <c:v>24.086784971444292</c:v>
                </c:pt>
                <c:pt idx="108">
                  <c:v>25.198119805974194</c:v>
                </c:pt>
                <c:pt idx="109">
                  <c:v>26.391580940885202</c:v>
                </c:pt>
                <c:pt idx="110">
                  <c:v>27.676443823670464</c:v>
                </c:pt>
                <c:pt idx="111">
                  <c:v>29.063435317648199</c:v>
                </c:pt>
                <c:pt idx="112">
                  <c:v>30.565029155788942</c:v>
                </c:pt>
                <c:pt idx="113">
                  <c:v>32.195816629529105</c:v>
                </c:pt>
                <c:pt idx="114">
                  <c:v>33.972975854192697</c:v>
                </c:pt>
                <c:pt idx="115">
                  <c:v>35.916871612730354</c:v>
                </c:pt>
                <c:pt idx="116">
                  <c:v>38.051830230008299</c:v>
                </c:pt>
                <c:pt idx="117">
                  <c:v>40.407152108448763</c:v>
                </c:pt>
                <c:pt idx="118">
                  <c:v>43.018451548244869</c:v>
                </c:pt>
                <c:pt idx="119">
                  <c:v>45.929454300236202</c:v>
                </c:pt>
                <c:pt idx="120">
                  <c:v>49.194446308481503</c:v>
                </c:pt>
                <c:pt idx="121">
                  <c:v>52.881666547486333</c:v>
                </c:pt>
                <c:pt idx="122">
                  <c:v>57.078097768401499</c:v>
                </c:pt>
                <c:pt idx="123">
                  <c:v>61.896376656593809</c:v>
                </c:pt>
                <c:pt idx="124">
                  <c:v>63.124930938112406</c:v>
                </c:pt>
                <c:pt idx="125">
                  <c:v>64.365558218154291</c:v>
                </c:pt>
                <c:pt idx="126">
                  <c:v>65.618258496719321</c:v>
                </c:pt>
                <c:pt idx="127">
                  <c:v>66.88303177380763</c:v>
                </c:pt>
                <c:pt idx="128">
                  <c:v>68.15987804941912</c:v>
                </c:pt>
                <c:pt idx="129">
                  <c:v>71.404813106986893</c:v>
                </c:pt>
                <c:pt idx="130">
                  <c:v>74.725204405324774</c:v>
                </c:pt>
                <c:pt idx="131">
                  <c:v>78.12105194443275</c:v>
                </c:pt>
                <c:pt idx="132">
                  <c:v>81.592355724310778</c:v>
                </c:pt>
                <c:pt idx="133">
                  <c:v>85.139115744958943</c:v>
                </c:pt>
                <c:pt idx="134">
                  <c:v>88.76133200637716</c:v>
                </c:pt>
                <c:pt idx="135">
                  <c:v>96.232133251523848</c:v>
                </c:pt>
                <c:pt idx="136">
                  <c:v>104.0047594597509</c:v>
                </c:pt>
                <c:pt idx="137">
                  <c:v>112.07921063105823</c:v>
                </c:pt>
                <c:pt idx="138">
                  <c:v>120.45548676544593</c:v>
                </c:pt>
                <c:pt idx="139">
                  <c:v>129.13358786291403</c:v>
                </c:pt>
                <c:pt idx="140">
                  <c:v>138.11351392346242</c:v>
                </c:pt>
                <c:pt idx="141">
                  <c:v>147.39526494709114</c:v>
                </c:pt>
                <c:pt idx="142">
                  <c:v>156.97884093380017</c:v>
                </c:pt>
                <c:pt idx="143">
                  <c:v>166.86424188358961</c:v>
                </c:pt>
                <c:pt idx="144">
                  <c:v>174.98987661683901</c:v>
                </c:pt>
                <c:pt idx="145">
                  <c:v>174.98987661683901</c:v>
                </c:pt>
              </c:numCache>
            </c:numRef>
          </c:xVal>
          <c:yVal>
            <c:numRef>
              <c:f>Ver130kHz!$E$214:$E$359</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22.026757883358133</c:v>
                </c:pt>
                <c:pt idx="57">
                  <c:v>22.303606436933268</c:v>
                </c:pt>
                <c:pt idx="58">
                  <c:v>22.58750284716422</c:v>
                </c:pt>
                <c:pt idx="59">
                  <c:v>22.878719714535098</c:v>
                </c:pt>
                <c:pt idx="60">
                  <c:v>23.177543881517952</c:v>
                </c:pt>
                <c:pt idx="61">
                  <c:v>23.48427737497089</c:v>
                </c:pt>
                <c:pt idx="62">
                  <c:v>23.799238424370419</c:v>
                </c:pt>
                <c:pt idx="63">
                  <c:v>24.122762563094199</c:v>
                </c:pt>
                <c:pt idx="64">
                  <c:v>24.455203820765959</c:v>
                </c:pt>
                <c:pt idx="65">
                  <c:v>24.796936015569976</c:v>
                </c:pt>
                <c:pt idx="66">
                  <c:v>25.148354156452349</c:v>
                </c:pt>
                <c:pt idx="67">
                  <c:v>25.509875966266939</c:v>
                </c:pt>
                <c:pt idx="68">
                  <c:v>25.881943538213928</c:v>
                </c:pt>
                <c:pt idx="69">
                  <c:v>26.265025139381205</c:v>
                </c:pt>
                <c:pt idx="70">
                  <c:v>26.659617176858553</c:v>
                </c:pt>
                <c:pt idx="71">
                  <c:v>27.066246343782272</c:v>
                </c:pt>
                <c:pt idx="72">
                  <c:v>27.485471964818597</c:v>
                </c:pt>
                <c:pt idx="73">
                  <c:v>27.917888563049853</c:v>
                </c:pt>
                <c:pt idx="74">
                  <c:v>28.364128673035488</c:v>
                </c:pt>
                <c:pt idx="75">
                  <c:v>28.824865928039575</c:v>
                </c:pt>
                <c:pt idx="76">
                  <c:v>29.300818453113759</c:v>
                </c:pt>
                <c:pt idx="77">
                  <c:v>29.792752599980972</c:v>
                </c:pt>
                <c:pt idx="78">
                  <c:v>30.301487064575266</c:v>
                </c:pt>
                <c:pt idx="79">
                  <c:v>30.82789743377182</c:v>
                </c:pt>
                <c:pt idx="80">
                  <c:v>31.372921214422043</c:v>
                </c:pt>
                <c:pt idx="81">
                  <c:v>31.937563405456757</c:v>
                </c:pt>
                <c:pt idx="82">
                  <c:v>32.522902682729509</c:v>
                </c:pt>
                <c:pt idx="83">
                  <c:v>33.130098276678069</c:v>
                </c:pt>
                <c:pt idx="84">
                  <c:v>33.76039763506995</c:v>
                </c:pt>
                <c:pt idx="85">
                  <c:v>34.415144977413249</c:v>
                </c:pt>
                <c:pt idx="86">
                  <c:v>35.095790864477152</c:v>
                </c:pt>
                <c:pt idx="87">
                  <c:v>35.803902926292089</c:v>
                </c:pt>
                <c:pt idx="88">
                  <c:v>36.54117791561751</c:v>
                </c:pt>
                <c:pt idx="89">
                  <c:v>37.309455281952879</c:v>
                </c:pt>
                <c:pt idx="90">
                  <c:v>38.11073249468371</c:v>
                </c:pt>
                <c:pt idx="91">
                  <c:v>38.947182384091214</c:v>
                </c:pt>
                <c:pt idx="92">
                  <c:v>39.821172817197386</c:v>
                </c:pt>
                <c:pt idx="93">
                  <c:v>40.735289083627144</c:v>
                </c:pt>
                <c:pt idx="94">
                  <c:v>41.692359437188173</c:v>
                </c:pt>
                <c:pt idx="95">
                  <c:v>42.695484324657897</c:v>
                </c:pt>
                <c:pt idx="96">
                  <c:v>43.748069938090964</c:v>
                </c:pt>
                <c:pt idx="97">
                  <c:v>44.853866855630855</c:v>
                </c:pt>
                <c:pt idx="98">
                  <c:v>46.017014694508909</c:v>
                </c:pt>
                <c:pt idx="99">
                  <c:v>47.242093896639055</c:v>
                </c:pt>
                <c:pt idx="100">
                  <c:v>48.534186012366021</c:v>
                </c:pt>
                <c:pt idx="101">
                  <c:v>49.8989441551144</c:v>
                </c:pt>
                <c:pt idx="102">
                  <c:v>51.342675686870059</c:v>
                </c:pt>
                <c:pt idx="103">
                  <c:v>52.872439685431154</c:v>
                </c:pt>
                <c:pt idx="104">
                  <c:v>54.496162371086768</c:v>
                </c:pt>
                <c:pt idx="105">
                  <c:v>56.222774475805288</c:v>
                </c:pt>
                <c:pt idx="106">
                  <c:v>58.062375580623716</c:v>
                </c:pt>
                <c:pt idx="107">
                  <c:v>60.026431806946903</c:v>
                </c:pt>
                <c:pt idx="108">
                  <c:v>62.128015036023768</c:v>
                </c:pt>
                <c:pt idx="109">
                  <c:v>64.38209420344738</c:v>
                </c:pt>
                <c:pt idx="110">
                  <c:v>66.805892391987754</c:v>
                </c:pt>
                <c:pt idx="111">
                  <c:v>69.419327740896691</c:v>
                </c:pt>
                <c:pt idx="112">
                  <c:v>72.245562058330648</c:v>
                </c:pt>
                <c:pt idx="113">
                  <c:v>75.311689133599103</c:v>
                </c:pt>
                <c:pt idx="114">
                  <c:v>78.649606091048369</c:v>
                </c:pt>
                <c:pt idx="115">
                  <c:v>82.297127207845165</c:v>
                </c:pt>
                <c:pt idx="116">
                  <c:v>86.299422736634369</c:v>
                </c:pt>
                <c:pt idx="117">
                  <c:v>90.710899028859785</c:v>
                </c:pt>
                <c:pt idx="118">
                  <c:v>95.597686375321189</c:v>
                </c:pt>
                <c:pt idx="119">
                  <c:v>101.04097678604779</c:v>
                </c:pt>
                <c:pt idx="120">
                  <c:v>107.14157092952043</c:v>
                </c:pt>
                <c:pt idx="121">
                  <c:v>114.02617811080658</c:v>
                </c:pt>
                <c:pt idx="122">
                  <c:v>121.85631195215844</c:v>
                </c:pt>
                <c:pt idx="123">
                  <c:v>130.8411214953272</c:v>
                </c:pt>
                <c:pt idx="124">
                  <c:v>130.84112149532709</c:v>
                </c:pt>
                <c:pt idx="125">
                  <c:v>130.84112149532709</c:v>
                </c:pt>
                <c:pt idx="126">
                  <c:v>130.84112149532709</c:v>
                </c:pt>
                <c:pt idx="127">
                  <c:v>130.84112149532709</c:v>
                </c:pt>
                <c:pt idx="128">
                  <c:v>130.84112149532709</c:v>
                </c:pt>
                <c:pt idx="129">
                  <c:v>130.84112149532709</c:v>
                </c:pt>
                <c:pt idx="130">
                  <c:v>130.84112149532709</c:v>
                </c:pt>
                <c:pt idx="131">
                  <c:v>130.84112149532709</c:v>
                </c:pt>
                <c:pt idx="132">
                  <c:v>130.84112149532709</c:v>
                </c:pt>
                <c:pt idx="133">
                  <c:v>130.84112149532709</c:v>
                </c:pt>
                <c:pt idx="134">
                  <c:v>130.84112149532709</c:v>
                </c:pt>
                <c:pt idx="135">
                  <c:v>130.84112149532709</c:v>
                </c:pt>
                <c:pt idx="136">
                  <c:v>130.84112149532709</c:v>
                </c:pt>
                <c:pt idx="137">
                  <c:v>130.84112149532709</c:v>
                </c:pt>
                <c:pt idx="138">
                  <c:v>130.84112149532709</c:v>
                </c:pt>
                <c:pt idx="139">
                  <c:v>130.84112149532709</c:v>
                </c:pt>
                <c:pt idx="140">
                  <c:v>130.84112149532709</c:v>
                </c:pt>
                <c:pt idx="141">
                  <c:v>130.84112149532709</c:v>
                </c:pt>
                <c:pt idx="142">
                  <c:v>130.84112149532709</c:v>
                </c:pt>
                <c:pt idx="143">
                  <c:v>130.84112149532709</c:v>
                </c:pt>
                <c:pt idx="144">
                  <c:v>130.84112149532709</c:v>
                </c:pt>
                <c:pt idx="145">
                  <c:v>130.84112149532709</c:v>
                </c:pt>
              </c:numCache>
            </c:numRef>
          </c:yVal>
          <c:smooth val="0"/>
        </c:ser>
        <c:ser>
          <c:idx val="6"/>
          <c:order val="1"/>
          <c:tx>
            <c:strRef>
              <c:f>Ver130kHz!$G$212</c:f>
              <c:strCache>
                <c:ptCount val="1"/>
                <c:pt idx="0">
                  <c:v>VBULK_Min, 65VDC</c:v>
                </c:pt>
              </c:strCache>
            </c:strRef>
          </c:tx>
          <c:spPr>
            <a:ln>
              <a:solidFill>
                <a:srgbClr val="0000FF"/>
              </a:solidFill>
              <a:prstDash val="sysDot"/>
            </a:ln>
          </c:spPr>
          <c:marker>
            <c:symbol val="none"/>
          </c:marker>
          <c:xVal>
            <c:numRef>
              <c:f>Ver130kHz!$J$214:$J$359</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4.6659984042518658</c:v>
                </c:pt>
                <c:pt idx="57">
                  <c:v>4.7946270126310253</c:v>
                </c:pt>
                <c:pt idx="58">
                  <c:v>4.9270512263163555</c:v>
                </c:pt>
                <c:pt idx="59">
                  <c:v>5.0634178536063903</c:v>
                </c:pt>
                <c:pt idx="60">
                  <c:v>5.2038813727861086</c:v>
                </c:pt>
                <c:pt idx="61">
                  <c:v>5.3486044396530383</c:v>
                </c:pt>
                <c:pt idx="62">
                  <c:v>5.4977584358837088</c:v>
                </c:pt>
                <c:pt idx="63">
                  <c:v>5.6515240621266782</c:v>
                </c:pt>
                <c:pt idx="64">
                  <c:v>5.8100919801368613</c:v>
                </c:pt>
                <c:pt idx="65">
                  <c:v>5.9736635087482002</c:v>
                </c:pt>
                <c:pt idx="66">
                  <c:v>6.1424513790256245</c:v>
                </c:pt>
                <c:pt idx="67">
                  <c:v>6.3166805545513975</c:v>
                </c:pt>
                <c:pt idx="68">
                  <c:v>6.4965891234959194</c:v>
                </c:pt>
                <c:pt idx="69">
                  <c:v>6.6824292699103633</c:v>
                </c:pt>
                <c:pt idx="70">
                  <c:v>6.8744683325724552</c:v>
                </c:pt>
                <c:pt idx="71">
                  <c:v>7.0729899607333753</c:v>
                </c:pt>
                <c:pt idx="72">
                  <c:v>7.278295377271907</c:v>
                </c:pt>
                <c:pt idx="73">
                  <c:v>7.4907047610844222</c:v>
                </c:pt>
                <c:pt idx="74">
                  <c:v>7.7105587620517904</c:v>
                </c:pt>
                <c:pt idx="75">
                  <c:v>7.9382201636578982</c:v>
                </c:pt>
                <c:pt idx="76">
                  <c:v>8.1740757103258552</c:v>
                </c:pt>
                <c:pt idx="77">
                  <c:v>8.4185381188301402</c:v>
                </c:pt>
                <c:pt idx="78">
                  <c:v>8.6720482957872136</c:v>
                </c:pt>
                <c:pt idx="79">
                  <c:v>8.935077786285424</c:v>
                </c:pt>
                <c:pt idx="80">
                  <c:v>9.2081314822590965</c:v>
                </c:pt>
                <c:pt idx="81">
                  <c:v>9.4917506233305389</c:v>
                </c:pt>
                <c:pt idx="82">
                  <c:v>9.7865161276417272</c:v>
                </c:pt>
                <c:pt idx="83">
                  <c:v>10.093052295801424</c:v>
                </c:pt>
                <c:pt idx="84">
                  <c:v>10.412030937637311</c:v>
                </c:pt>
                <c:pt idx="85">
                  <c:v>10.744175979152253</c:v>
                </c:pt>
                <c:pt idx="86">
                  <c:v>11.090268616165266</c:v>
                </c:pt>
                <c:pt idx="87">
                  <c:v>11.451153091848713</c:v>
                </c:pt>
                <c:pt idx="88">
                  <c:v>11.827743188092837</c:v>
                </c:pt>
                <c:pt idx="89">
                  <c:v>12.221029535754868</c:v>
                </c:pt>
                <c:pt idx="90">
                  <c:v>12.632087866900424</c:v>
                </c:pt>
                <c:pt idx="91">
                  <c:v>13.062088353760236</c:v>
                </c:pt>
                <c:pt idx="92">
                  <c:v>13.512306205106551</c:v>
                </c:pt>
                <c:pt idx="93">
                  <c:v>13.984133722102321</c:v>
                </c:pt>
                <c:pt idx="94">
                  <c:v>14.479094053654226</c:v>
                </c:pt>
                <c:pt idx="95">
                  <c:v>14.998856937501628</c:v>
                </c:pt>
                <c:pt idx="96">
                  <c:v>15.545256769726608</c:v>
                </c:pt>
                <c:pt idx="97">
                  <c:v>16.120313414664913</c:v>
                </c:pt>
                <c:pt idx="98">
                  <c:v>16.726256252665241</c:v>
                </c:pt>
                <c:pt idx="99">
                  <c:v>17.365552069089734</c:v>
                </c:pt>
                <c:pt idx="100">
                  <c:v>18.040937519973536</c:v>
                </c:pt>
                <c:pt idx="101">
                  <c:v>18.755457075197171</c:v>
                </c:pt>
                <c:pt idx="102">
                  <c:v>19.512507548542541</c:v>
                </c:pt>
                <c:pt idx="103">
                  <c:v>20.315890588433557</c:v>
                </c:pt>
                <c:pt idx="104">
                  <c:v>21.169874840680745</c:v>
                </c:pt>
                <c:pt idx="105">
                  <c:v>22.079269928308882</c:v>
                </c:pt>
                <c:pt idx="106">
                  <c:v>23.049514955040749</c:v>
                </c:pt>
                <c:pt idx="107">
                  <c:v>24.086784971444292</c:v>
                </c:pt>
                <c:pt idx="108">
                  <c:v>25.198119805974194</c:v>
                </c:pt>
                <c:pt idx="109">
                  <c:v>26.391580940885202</c:v>
                </c:pt>
                <c:pt idx="110">
                  <c:v>27.676443823670464</c:v>
                </c:pt>
                <c:pt idx="111">
                  <c:v>29.063435317648199</c:v>
                </c:pt>
                <c:pt idx="112">
                  <c:v>30.565029155788942</c:v>
                </c:pt>
                <c:pt idx="113">
                  <c:v>32.195816629529105</c:v>
                </c:pt>
                <c:pt idx="114">
                  <c:v>33.972975854192697</c:v>
                </c:pt>
                <c:pt idx="115">
                  <c:v>35.916871612730354</c:v>
                </c:pt>
                <c:pt idx="116">
                  <c:v>38.051830230008299</c:v>
                </c:pt>
                <c:pt idx="117">
                  <c:v>39.876185697163827</c:v>
                </c:pt>
                <c:pt idx="118">
                  <c:v>40.088180495559314</c:v>
                </c:pt>
                <c:pt idx="119">
                  <c:v>40.300179371398052</c:v>
                </c:pt>
                <c:pt idx="120">
                  <c:v>40.512182266076294</c:v>
                </c:pt>
                <c:pt idx="121">
                  <c:v>40.724189122107916</c:v>
                </c:pt>
                <c:pt idx="122">
                  <c:v>40.93619988309802</c:v>
                </c:pt>
                <c:pt idx="123">
                  <c:v>41.148214493717127</c:v>
                </c:pt>
                <c:pt idx="124">
                  <c:v>41.572255047701908</c:v>
                </c:pt>
                <c:pt idx="125">
                  <c:v>41.996310361800425</c:v>
                </c:pt>
                <c:pt idx="126">
                  <c:v>42.420380029265964</c:v>
                </c:pt>
                <c:pt idx="127">
                  <c:v>42.844463658160869</c:v>
                </c:pt>
                <c:pt idx="128">
                  <c:v>43.268560870688532</c:v>
                </c:pt>
                <c:pt idx="129">
                  <c:v>44.32886097139636</c:v>
                </c:pt>
                <c:pt idx="130">
                  <c:v>45.389238377926574</c:v>
                </c:pt>
                <c:pt idx="131">
                  <c:v>46.449688191911136</c:v>
                </c:pt>
                <c:pt idx="132">
                  <c:v>47.510205920259082</c:v>
                </c:pt>
                <c:pt idx="133">
                  <c:v>48.570787434091656</c:v>
                </c:pt>
                <c:pt idx="134">
                  <c:v>49.631428932571204</c:v>
                </c:pt>
                <c:pt idx="135">
                  <c:v>51.752878132322451</c:v>
                </c:pt>
                <c:pt idx="136">
                  <c:v>53.874528547517926</c:v>
                </c:pt>
                <c:pt idx="137">
                  <c:v>55.996358751692888</c:v>
                </c:pt>
                <c:pt idx="138">
                  <c:v>58.118350256238088</c:v>
                </c:pt>
                <c:pt idx="139">
                  <c:v>60.240487023563617</c:v>
                </c:pt>
                <c:pt idx="140">
                  <c:v>62.362755073966056</c:v>
                </c:pt>
                <c:pt idx="141">
                  <c:v>64.485142165812277</c:v>
                </c:pt>
                <c:pt idx="142">
                  <c:v>66.607637533568081</c:v>
                </c:pt>
                <c:pt idx="143">
                  <c:v>68.730231671823546</c:v>
                </c:pt>
                <c:pt idx="144">
                  <c:v>70.428372403603589</c:v>
                </c:pt>
                <c:pt idx="145">
                  <c:v>70.428372403603589</c:v>
                </c:pt>
              </c:numCache>
            </c:numRef>
          </c:xVal>
          <c:yVal>
            <c:numRef>
              <c:f>Ver130kHz!$I$214:$I$359</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22.026757883358133</c:v>
                </c:pt>
                <c:pt idx="57">
                  <c:v>22.303606436933268</c:v>
                </c:pt>
                <c:pt idx="58">
                  <c:v>22.58750284716422</c:v>
                </c:pt>
                <c:pt idx="59">
                  <c:v>22.878719714535098</c:v>
                </c:pt>
                <c:pt idx="60">
                  <c:v>23.177543881517952</c:v>
                </c:pt>
                <c:pt idx="61">
                  <c:v>23.48427737497089</c:v>
                </c:pt>
                <c:pt idx="62">
                  <c:v>23.799238424370419</c:v>
                </c:pt>
                <c:pt idx="63">
                  <c:v>24.122762563094199</c:v>
                </c:pt>
                <c:pt idx="64">
                  <c:v>24.455203820765959</c:v>
                </c:pt>
                <c:pt idx="65">
                  <c:v>24.796936015569976</c:v>
                </c:pt>
                <c:pt idx="66">
                  <c:v>25.148354156452349</c:v>
                </c:pt>
                <c:pt idx="67">
                  <c:v>25.509875966266939</c:v>
                </c:pt>
                <c:pt idx="68">
                  <c:v>25.881943538213928</c:v>
                </c:pt>
                <c:pt idx="69">
                  <c:v>26.265025139381205</c:v>
                </c:pt>
                <c:pt idx="70">
                  <c:v>26.659617176858553</c:v>
                </c:pt>
                <c:pt idx="71">
                  <c:v>27.066246343782272</c:v>
                </c:pt>
                <c:pt idx="72">
                  <c:v>27.485471964818597</c:v>
                </c:pt>
                <c:pt idx="73">
                  <c:v>27.917888563049853</c:v>
                </c:pt>
                <c:pt idx="74">
                  <c:v>28.364128673035488</c:v>
                </c:pt>
                <c:pt idx="75">
                  <c:v>28.824865928039575</c:v>
                </c:pt>
                <c:pt idx="76">
                  <c:v>29.300818453113759</c:v>
                </c:pt>
                <c:pt idx="77">
                  <c:v>29.792752599980972</c:v>
                </c:pt>
                <c:pt idx="78">
                  <c:v>30.301487064575266</c:v>
                </c:pt>
                <c:pt idx="79">
                  <c:v>30.82789743377182</c:v>
                </c:pt>
                <c:pt idx="80">
                  <c:v>31.372921214422043</c:v>
                </c:pt>
                <c:pt idx="81">
                  <c:v>31.937563405456757</c:v>
                </c:pt>
                <c:pt idx="82">
                  <c:v>32.522902682729509</c:v>
                </c:pt>
                <c:pt idx="83">
                  <c:v>33.130098276678069</c:v>
                </c:pt>
                <c:pt idx="84">
                  <c:v>33.76039763506995</c:v>
                </c:pt>
                <c:pt idx="85">
                  <c:v>34.415144977413249</c:v>
                </c:pt>
                <c:pt idx="86">
                  <c:v>35.095790864477152</c:v>
                </c:pt>
                <c:pt idx="87">
                  <c:v>35.803902926292089</c:v>
                </c:pt>
                <c:pt idx="88">
                  <c:v>36.54117791561751</c:v>
                </c:pt>
                <c:pt idx="89">
                  <c:v>37.309455281952879</c:v>
                </c:pt>
                <c:pt idx="90">
                  <c:v>38.11073249468371</c:v>
                </c:pt>
                <c:pt idx="91">
                  <c:v>38.947182384091214</c:v>
                </c:pt>
                <c:pt idx="92">
                  <c:v>39.821172817197386</c:v>
                </c:pt>
                <c:pt idx="93">
                  <c:v>40.735289083627144</c:v>
                </c:pt>
                <c:pt idx="94">
                  <c:v>41.692359437188173</c:v>
                </c:pt>
                <c:pt idx="95">
                  <c:v>42.695484324657897</c:v>
                </c:pt>
                <c:pt idx="96">
                  <c:v>43.748069938090964</c:v>
                </c:pt>
                <c:pt idx="97">
                  <c:v>44.853866855630855</c:v>
                </c:pt>
                <c:pt idx="98">
                  <c:v>46.017014694508909</c:v>
                </c:pt>
                <c:pt idx="99">
                  <c:v>47.242093896639055</c:v>
                </c:pt>
                <c:pt idx="100">
                  <c:v>48.534186012366021</c:v>
                </c:pt>
                <c:pt idx="101">
                  <c:v>49.8989441551144</c:v>
                </c:pt>
                <c:pt idx="102">
                  <c:v>51.342675686870059</c:v>
                </c:pt>
                <c:pt idx="103">
                  <c:v>52.872439685431154</c:v>
                </c:pt>
                <c:pt idx="104">
                  <c:v>54.496162371086768</c:v>
                </c:pt>
                <c:pt idx="105">
                  <c:v>56.222774475805288</c:v>
                </c:pt>
                <c:pt idx="106">
                  <c:v>58.062375580623716</c:v>
                </c:pt>
                <c:pt idx="107">
                  <c:v>60.026431806946903</c:v>
                </c:pt>
                <c:pt idx="108">
                  <c:v>62.128015036023768</c:v>
                </c:pt>
                <c:pt idx="109">
                  <c:v>64.38209420344738</c:v>
                </c:pt>
                <c:pt idx="110">
                  <c:v>66.805892391987754</c:v>
                </c:pt>
                <c:pt idx="111">
                  <c:v>69.419327740896691</c:v>
                </c:pt>
                <c:pt idx="112">
                  <c:v>72.245562058330648</c:v>
                </c:pt>
                <c:pt idx="113">
                  <c:v>75.311689133599103</c:v>
                </c:pt>
                <c:pt idx="114">
                  <c:v>78.649606091048369</c:v>
                </c:pt>
                <c:pt idx="115">
                  <c:v>82.297127207845165</c:v>
                </c:pt>
                <c:pt idx="116">
                  <c:v>86.299422736634369</c:v>
                </c:pt>
                <c:pt idx="117">
                  <c:v>89.518920925762714</c:v>
                </c:pt>
                <c:pt idx="118">
                  <c:v>89.085896131658984</c:v>
                </c:pt>
                <c:pt idx="119">
                  <c:v>88.657040462987851</c:v>
                </c:pt>
                <c:pt idx="120">
                  <c:v>88.232293998237978</c:v>
                </c:pt>
                <c:pt idx="121">
                  <c:v>87.811597958732975</c:v>
                </c:pt>
                <c:pt idx="122">
                  <c:v>87.39489468151568</c:v>
                </c:pt>
                <c:pt idx="123">
                  <c:v>86.982127592999944</c:v>
                </c:pt>
                <c:pt idx="124">
                  <c:v>86.168180981676343</c:v>
                </c:pt>
                <c:pt idx="125">
                  <c:v>85.369326368305678</c:v>
                </c:pt>
                <c:pt idx="126">
                  <c:v>84.585147860402785</c:v>
                </c:pt>
                <c:pt idx="127">
                  <c:v>83.815244707475586</c:v>
                </c:pt>
                <c:pt idx="128">
                  <c:v>83.05923061812112</c:v>
                </c:pt>
                <c:pt idx="129">
                  <c:v>81.227548000407907</c:v>
                </c:pt>
                <c:pt idx="130">
                  <c:v>79.474909442515596</c:v>
                </c:pt>
                <c:pt idx="131">
                  <c:v>77.796306435566578</c:v>
                </c:pt>
                <c:pt idx="132">
                  <c:v>76.187144860538183</c:v>
                </c:pt>
                <c:pt idx="133">
                  <c:v>74.643202999955662</c:v>
                </c:pt>
                <c:pt idx="134">
                  <c:v>73.160594553568487</c:v>
                </c:pt>
                <c:pt idx="135">
                  <c:v>70.36531755713554</c:v>
                </c:pt>
                <c:pt idx="136">
                  <c:v>67.775780375869957</c:v>
                </c:pt>
                <c:pt idx="137">
                  <c:v>65.370074766532056</c:v>
                </c:pt>
                <c:pt idx="138">
                  <c:v>63.129296399687099</c:v>
                </c:pt>
                <c:pt idx="139">
                  <c:v>61.037047076823157</c:v>
                </c:pt>
                <c:pt idx="140">
                  <c:v>59.079032758068017</c:v>
                </c:pt>
                <c:pt idx="141">
                  <c:v>57.242736554591019</c:v>
                </c:pt>
                <c:pt idx="142">
                  <c:v>55.517150866985418</c:v>
                </c:pt>
                <c:pt idx="143">
                  <c:v>53.892556554139951</c:v>
                </c:pt>
                <c:pt idx="144">
                  <c:v>52.659773288229744</c:v>
                </c:pt>
                <c:pt idx="145">
                  <c:v>52.659773288229744</c:v>
                </c:pt>
              </c:numCache>
            </c:numRef>
          </c:yVal>
          <c:smooth val="1"/>
        </c:ser>
        <c:ser>
          <c:idx val="0"/>
          <c:order val="2"/>
          <c:tx>
            <c:strRef>
              <c:f>Ver130kHz!$K$212</c:f>
              <c:strCache>
                <c:ptCount val="1"/>
                <c:pt idx="0">
                  <c:v>Peak at 90VAC </c:v>
                </c:pt>
              </c:strCache>
            </c:strRef>
          </c:tx>
          <c:spPr>
            <a:ln>
              <a:solidFill>
                <a:srgbClr val="0000FF"/>
              </a:solidFill>
              <a:prstDash val="solid"/>
            </a:ln>
          </c:spPr>
          <c:marker>
            <c:symbol val="none"/>
          </c:marker>
          <c:xVal>
            <c:numRef>
              <c:f>Ver130kHz!$N$214:$N$359</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4.6659984042518658</c:v>
                </c:pt>
                <c:pt idx="57">
                  <c:v>4.7946270126310253</c:v>
                </c:pt>
                <c:pt idx="58">
                  <c:v>4.9270512263163555</c:v>
                </c:pt>
                <c:pt idx="59">
                  <c:v>5.0634178536063903</c:v>
                </c:pt>
                <c:pt idx="60">
                  <c:v>5.2038813727861086</c:v>
                </c:pt>
                <c:pt idx="61">
                  <c:v>5.3486044396530383</c:v>
                </c:pt>
                <c:pt idx="62">
                  <c:v>5.4977584358837088</c:v>
                </c:pt>
                <c:pt idx="63">
                  <c:v>5.6515240621266782</c:v>
                </c:pt>
                <c:pt idx="64">
                  <c:v>5.8100919801368613</c:v>
                </c:pt>
                <c:pt idx="65">
                  <c:v>5.9736635087482002</c:v>
                </c:pt>
                <c:pt idx="66">
                  <c:v>6.1424513790256245</c:v>
                </c:pt>
                <c:pt idx="67">
                  <c:v>6.3166805545513975</c:v>
                </c:pt>
                <c:pt idx="68">
                  <c:v>6.4965891234959194</c:v>
                </c:pt>
                <c:pt idx="69">
                  <c:v>6.6824292699103633</c:v>
                </c:pt>
                <c:pt idx="70">
                  <c:v>6.8744683325724552</c:v>
                </c:pt>
                <c:pt idx="71">
                  <c:v>7.0729899607333753</c:v>
                </c:pt>
                <c:pt idx="72">
                  <c:v>7.278295377271907</c:v>
                </c:pt>
                <c:pt idx="73">
                  <c:v>7.4907047610844222</c:v>
                </c:pt>
                <c:pt idx="74">
                  <c:v>7.7105587620517904</c:v>
                </c:pt>
                <c:pt idx="75">
                  <c:v>7.9382201636578982</c:v>
                </c:pt>
                <c:pt idx="76">
                  <c:v>8.1740757103258552</c:v>
                </c:pt>
                <c:pt idx="77">
                  <c:v>8.4185381188301402</c:v>
                </c:pt>
                <c:pt idx="78">
                  <c:v>8.6720482957872136</c:v>
                </c:pt>
                <c:pt idx="79">
                  <c:v>8.935077786285424</c:v>
                </c:pt>
                <c:pt idx="80">
                  <c:v>9.2081314822590965</c:v>
                </c:pt>
                <c:pt idx="81">
                  <c:v>9.4917506233305389</c:v>
                </c:pt>
                <c:pt idx="82">
                  <c:v>9.7865161276417272</c:v>
                </c:pt>
                <c:pt idx="83">
                  <c:v>10.093052295801424</c:v>
                </c:pt>
                <c:pt idx="84">
                  <c:v>10.412030937637311</c:v>
                </c:pt>
                <c:pt idx="85">
                  <c:v>10.744175979152253</c:v>
                </c:pt>
                <c:pt idx="86">
                  <c:v>11.090268616165266</c:v>
                </c:pt>
                <c:pt idx="87">
                  <c:v>11.451153091848713</c:v>
                </c:pt>
                <c:pt idx="88">
                  <c:v>11.827743188092837</c:v>
                </c:pt>
                <c:pt idx="89">
                  <c:v>12.221029535754868</c:v>
                </c:pt>
                <c:pt idx="90">
                  <c:v>12.632087866900424</c:v>
                </c:pt>
                <c:pt idx="91">
                  <c:v>13.062088353760236</c:v>
                </c:pt>
                <c:pt idx="92">
                  <c:v>13.512306205106551</c:v>
                </c:pt>
                <c:pt idx="93">
                  <c:v>13.984133722102321</c:v>
                </c:pt>
                <c:pt idx="94">
                  <c:v>14.479094053654226</c:v>
                </c:pt>
                <c:pt idx="95">
                  <c:v>14.998856937501628</c:v>
                </c:pt>
                <c:pt idx="96">
                  <c:v>15.545256769726608</c:v>
                </c:pt>
                <c:pt idx="97">
                  <c:v>16.120313414664913</c:v>
                </c:pt>
                <c:pt idx="98">
                  <c:v>16.726256252665241</c:v>
                </c:pt>
                <c:pt idx="99">
                  <c:v>17.365552069089734</c:v>
                </c:pt>
                <c:pt idx="100">
                  <c:v>18.040937519973536</c:v>
                </c:pt>
                <c:pt idx="101">
                  <c:v>18.755457075197171</c:v>
                </c:pt>
                <c:pt idx="102">
                  <c:v>19.512507548542541</c:v>
                </c:pt>
                <c:pt idx="103">
                  <c:v>20.315890588433557</c:v>
                </c:pt>
                <c:pt idx="104">
                  <c:v>21.169874840680745</c:v>
                </c:pt>
                <c:pt idx="105">
                  <c:v>22.079269928308882</c:v>
                </c:pt>
                <c:pt idx="106">
                  <c:v>23.049514955040749</c:v>
                </c:pt>
                <c:pt idx="107">
                  <c:v>24.086784971444292</c:v>
                </c:pt>
                <c:pt idx="108">
                  <c:v>25.198119805974194</c:v>
                </c:pt>
                <c:pt idx="109">
                  <c:v>26.391580940885202</c:v>
                </c:pt>
                <c:pt idx="110">
                  <c:v>27.676443823670464</c:v>
                </c:pt>
                <c:pt idx="111">
                  <c:v>29.063435317648199</c:v>
                </c:pt>
                <c:pt idx="112">
                  <c:v>30.565029155788942</c:v>
                </c:pt>
                <c:pt idx="113">
                  <c:v>32.195816629529105</c:v>
                </c:pt>
                <c:pt idx="114">
                  <c:v>33.972975854192697</c:v>
                </c:pt>
                <c:pt idx="115">
                  <c:v>35.916871612730354</c:v>
                </c:pt>
                <c:pt idx="116">
                  <c:v>38.051830230008299</c:v>
                </c:pt>
                <c:pt idx="117">
                  <c:v>40.407152108448763</c:v>
                </c:pt>
                <c:pt idx="118">
                  <c:v>43.018451548244869</c:v>
                </c:pt>
                <c:pt idx="119">
                  <c:v>45.929454300236202</c:v>
                </c:pt>
                <c:pt idx="120">
                  <c:v>49.194446308481503</c:v>
                </c:pt>
                <c:pt idx="121">
                  <c:v>52.881666547486333</c:v>
                </c:pt>
                <c:pt idx="122">
                  <c:v>57.078097768401499</c:v>
                </c:pt>
                <c:pt idx="123">
                  <c:v>59.748073234536349</c:v>
                </c:pt>
                <c:pt idx="124">
                  <c:v>60.375400734703412</c:v>
                </c:pt>
                <c:pt idx="125">
                  <c:v>61.002773447264197</c:v>
                </c:pt>
                <c:pt idx="126">
                  <c:v>61.630190151209476</c:v>
                </c:pt>
                <c:pt idx="127">
                  <c:v>62.257649669104048</c:v>
                </c:pt>
                <c:pt idx="128">
                  <c:v>62.885150865160014</c:v>
                </c:pt>
                <c:pt idx="129">
                  <c:v>64.454079098317564</c:v>
                </c:pt>
                <c:pt idx="130">
                  <c:v>66.023244958410274</c:v>
                </c:pt>
                <c:pt idx="131">
                  <c:v>67.59263366594341</c:v>
                </c:pt>
                <c:pt idx="132">
                  <c:v>69.162231642166233</c:v>
                </c:pt>
                <c:pt idx="133">
                  <c:v>70.732026389558342</c:v>
                </c:pt>
                <c:pt idx="134">
                  <c:v>72.302006386311461</c:v>
                </c:pt>
                <c:pt idx="135">
                  <c:v>75.442480369371765</c:v>
                </c:pt>
                <c:pt idx="136">
                  <c:v>78.58357763452166</c:v>
                </c:pt>
                <c:pt idx="137">
                  <c:v>81.725232841873492</c:v>
                </c:pt>
                <c:pt idx="138">
                  <c:v>84.86738947611893</c:v>
                </c:pt>
                <c:pt idx="139">
                  <c:v>88.009998405415487</c:v>
                </c:pt>
                <c:pt idx="140">
                  <c:v>91.153016713752933</c:v>
                </c:pt>
                <c:pt idx="141">
                  <c:v>94.296406748108296</c:v>
                </c:pt>
                <c:pt idx="142">
                  <c:v>97.440135335664607</c:v>
                </c:pt>
                <c:pt idx="143">
                  <c:v>100.58417313670448</c:v>
                </c:pt>
                <c:pt idx="144">
                  <c:v>103.09960841036295</c:v>
                </c:pt>
                <c:pt idx="145">
                  <c:v>103.09960841036295</c:v>
                </c:pt>
              </c:numCache>
            </c:numRef>
          </c:xVal>
          <c:yVal>
            <c:numRef>
              <c:f>Ver130kHz!$M$214:$M$359</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22.026757883358133</c:v>
                </c:pt>
                <c:pt idx="57">
                  <c:v>22.303606436933268</c:v>
                </c:pt>
                <c:pt idx="58">
                  <c:v>22.58750284716422</c:v>
                </c:pt>
                <c:pt idx="59">
                  <c:v>22.878719714535098</c:v>
                </c:pt>
                <c:pt idx="60">
                  <c:v>23.177543881517952</c:v>
                </c:pt>
                <c:pt idx="61">
                  <c:v>23.48427737497089</c:v>
                </c:pt>
                <c:pt idx="62">
                  <c:v>23.799238424370419</c:v>
                </c:pt>
                <c:pt idx="63">
                  <c:v>24.122762563094199</c:v>
                </c:pt>
                <c:pt idx="64">
                  <c:v>24.455203820765959</c:v>
                </c:pt>
                <c:pt idx="65">
                  <c:v>24.796936015569976</c:v>
                </c:pt>
                <c:pt idx="66">
                  <c:v>25.148354156452349</c:v>
                </c:pt>
                <c:pt idx="67">
                  <c:v>25.509875966266939</c:v>
                </c:pt>
                <c:pt idx="68">
                  <c:v>25.881943538213928</c:v>
                </c:pt>
                <c:pt idx="69">
                  <c:v>26.265025139381205</c:v>
                </c:pt>
                <c:pt idx="70">
                  <c:v>26.659617176858553</c:v>
                </c:pt>
                <c:pt idx="71">
                  <c:v>27.066246343782272</c:v>
                </c:pt>
                <c:pt idx="72">
                  <c:v>27.485471964818597</c:v>
                </c:pt>
                <c:pt idx="73">
                  <c:v>27.917888563049853</c:v>
                </c:pt>
                <c:pt idx="74">
                  <c:v>28.364128673035488</c:v>
                </c:pt>
                <c:pt idx="75">
                  <c:v>28.824865928039575</c:v>
                </c:pt>
                <c:pt idx="76">
                  <c:v>29.300818453113759</c:v>
                </c:pt>
                <c:pt idx="77">
                  <c:v>29.792752599980972</c:v>
                </c:pt>
                <c:pt idx="78">
                  <c:v>30.301487064575266</c:v>
                </c:pt>
                <c:pt idx="79">
                  <c:v>30.82789743377182</c:v>
                </c:pt>
                <c:pt idx="80">
                  <c:v>31.372921214422043</c:v>
                </c:pt>
                <c:pt idx="81">
                  <c:v>31.937563405456757</c:v>
                </c:pt>
                <c:pt idx="82">
                  <c:v>32.522902682729509</c:v>
                </c:pt>
                <c:pt idx="83">
                  <c:v>33.130098276678069</c:v>
                </c:pt>
                <c:pt idx="84">
                  <c:v>33.76039763506995</c:v>
                </c:pt>
                <c:pt idx="85">
                  <c:v>34.415144977413249</c:v>
                </c:pt>
                <c:pt idx="86">
                  <c:v>35.095790864477152</c:v>
                </c:pt>
                <c:pt idx="87">
                  <c:v>35.803902926292089</c:v>
                </c:pt>
                <c:pt idx="88">
                  <c:v>36.54117791561751</c:v>
                </c:pt>
                <c:pt idx="89">
                  <c:v>37.309455281952879</c:v>
                </c:pt>
                <c:pt idx="90">
                  <c:v>38.11073249468371</c:v>
                </c:pt>
                <c:pt idx="91">
                  <c:v>38.947182384091214</c:v>
                </c:pt>
                <c:pt idx="92">
                  <c:v>39.821172817197386</c:v>
                </c:pt>
                <c:pt idx="93">
                  <c:v>40.735289083627144</c:v>
                </c:pt>
                <c:pt idx="94">
                  <c:v>41.692359437188173</c:v>
                </c:pt>
                <c:pt idx="95">
                  <c:v>42.695484324657897</c:v>
                </c:pt>
                <c:pt idx="96">
                  <c:v>43.748069938090964</c:v>
                </c:pt>
                <c:pt idx="97">
                  <c:v>44.853866855630855</c:v>
                </c:pt>
                <c:pt idx="98">
                  <c:v>46.017014694508909</c:v>
                </c:pt>
                <c:pt idx="99">
                  <c:v>47.242093896639055</c:v>
                </c:pt>
                <c:pt idx="100">
                  <c:v>48.534186012366021</c:v>
                </c:pt>
                <c:pt idx="101">
                  <c:v>49.8989441551144</c:v>
                </c:pt>
                <c:pt idx="102">
                  <c:v>51.342675686870059</c:v>
                </c:pt>
                <c:pt idx="103">
                  <c:v>52.872439685431154</c:v>
                </c:pt>
                <c:pt idx="104">
                  <c:v>54.496162371086768</c:v>
                </c:pt>
                <c:pt idx="105">
                  <c:v>56.222774475805288</c:v>
                </c:pt>
                <c:pt idx="106">
                  <c:v>58.062375580623716</c:v>
                </c:pt>
                <c:pt idx="107">
                  <c:v>60.026431806946903</c:v>
                </c:pt>
                <c:pt idx="108">
                  <c:v>62.128015036023768</c:v>
                </c:pt>
                <c:pt idx="109">
                  <c:v>64.38209420344738</c:v>
                </c:pt>
                <c:pt idx="110">
                  <c:v>66.805892391987754</c:v>
                </c:pt>
                <c:pt idx="111">
                  <c:v>69.419327740896691</c:v>
                </c:pt>
                <c:pt idx="112">
                  <c:v>72.245562058330648</c:v>
                </c:pt>
                <c:pt idx="113">
                  <c:v>75.311689133599103</c:v>
                </c:pt>
                <c:pt idx="114">
                  <c:v>78.649606091048369</c:v>
                </c:pt>
                <c:pt idx="115">
                  <c:v>82.297127207845165</c:v>
                </c:pt>
                <c:pt idx="116">
                  <c:v>86.299422736634369</c:v>
                </c:pt>
                <c:pt idx="117">
                  <c:v>90.710899028859785</c:v>
                </c:pt>
                <c:pt idx="118">
                  <c:v>95.597686375321189</c:v>
                </c:pt>
                <c:pt idx="119">
                  <c:v>101.04097678604779</c:v>
                </c:pt>
                <c:pt idx="120">
                  <c:v>107.14157092952043</c:v>
                </c:pt>
                <c:pt idx="121">
                  <c:v>114.02617811080658</c:v>
                </c:pt>
                <c:pt idx="122">
                  <c:v>121.85631195215844</c:v>
                </c:pt>
                <c:pt idx="123">
                  <c:v>126.29987943500858</c:v>
                </c:pt>
                <c:pt idx="124">
                  <c:v>125.14207976881799</c:v>
                </c:pt>
                <c:pt idx="125">
                  <c:v>124.00531453658985</c:v>
                </c:pt>
                <c:pt idx="126">
                  <c:v>122.88901568086678</c:v>
                </c:pt>
                <c:pt idx="127">
                  <c:v>121.79263541636864</c:v>
                </c:pt>
                <c:pt idx="128">
                  <c:v>120.7156453336773</c:v>
                </c:pt>
                <c:pt idx="129">
                  <c:v>118.10469949044939</c:v>
                </c:pt>
                <c:pt idx="130">
                  <c:v>115.60430625604999</c:v>
                </c:pt>
                <c:pt idx="131">
                  <c:v>113.20758967717781</c:v>
                </c:pt>
                <c:pt idx="132">
                  <c:v>110.90823242996969</c:v>
                </c:pt>
                <c:pt idx="133">
                  <c:v>108.70042021777573</c:v>
                </c:pt>
                <c:pt idx="134">
                  <c:v>106.57879268043909</c:v>
                </c:pt>
                <c:pt idx="135">
                  <c:v>102.57466405860323</c:v>
                </c:pt>
                <c:pt idx="136">
                  <c:v>98.860508713497509</c:v>
                </c:pt>
                <c:pt idx="137">
                  <c:v>95.405928176070901</c:v>
                </c:pt>
                <c:pt idx="138">
                  <c:v>92.184629489384747</c:v>
                </c:pt>
                <c:pt idx="139">
                  <c:v>89.173754750708113</c:v>
                </c:pt>
                <c:pt idx="140">
                  <c:v>86.353337886392524</c:v>
                </c:pt>
                <c:pt idx="141">
                  <c:v>83.705861354031953</c:v>
                </c:pt>
                <c:pt idx="142">
                  <c:v>81.215891964390821</c:v>
                </c:pt>
                <c:pt idx="143">
                  <c:v>78.869779824174827</c:v>
                </c:pt>
                <c:pt idx="144">
                  <c:v>77.08827876756645</c:v>
                </c:pt>
                <c:pt idx="145">
                  <c:v>77.08827876756645</c:v>
                </c:pt>
              </c:numCache>
            </c:numRef>
          </c:yVal>
          <c:smooth val="1"/>
        </c:ser>
        <c:ser>
          <c:idx val="1"/>
          <c:order val="3"/>
          <c:tx>
            <c:strRef>
              <c:f>Ver130kHz!$O$212</c:f>
              <c:strCache>
                <c:ptCount val="1"/>
                <c:pt idx="0">
                  <c:v>Peak at 100VAC </c:v>
                </c:pt>
              </c:strCache>
            </c:strRef>
          </c:tx>
          <c:spPr>
            <a:ln>
              <a:solidFill>
                <a:srgbClr val="CC00FF"/>
              </a:solidFill>
              <a:prstDash val="solid"/>
            </a:ln>
          </c:spPr>
          <c:marker>
            <c:symbol val="none"/>
          </c:marker>
          <c:xVal>
            <c:numRef>
              <c:f>Ver130kHz!$R$214:$R$359</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4.6659984042518658</c:v>
                </c:pt>
                <c:pt idx="57">
                  <c:v>4.7946270126310253</c:v>
                </c:pt>
                <c:pt idx="58">
                  <c:v>4.9270512263163555</c:v>
                </c:pt>
                <c:pt idx="59">
                  <c:v>5.0634178536063903</c:v>
                </c:pt>
                <c:pt idx="60">
                  <c:v>5.2038813727861086</c:v>
                </c:pt>
                <c:pt idx="61">
                  <c:v>5.3486044396530383</c:v>
                </c:pt>
                <c:pt idx="62">
                  <c:v>5.4977584358837088</c:v>
                </c:pt>
                <c:pt idx="63">
                  <c:v>5.6515240621266782</c:v>
                </c:pt>
                <c:pt idx="64">
                  <c:v>5.8100919801368613</c:v>
                </c:pt>
                <c:pt idx="65">
                  <c:v>5.9736635087482002</c:v>
                </c:pt>
                <c:pt idx="66">
                  <c:v>6.1424513790256245</c:v>
                </c:pt>
                <c:pt idx="67">
                  <c:v>6.3166805545513975</c:v>
                </c:pt>
                <c:pt idx="68">
                  <c:v>6.4965891234959194</c:v>
                </c:pt>
                <c:pt idx="69">
                  <c:v>6.6824292699103633</c:v>
                </c:pt>
                <c:pt idx="70">
                  <c:v>6.8744683325724552</c:v>
                </c:pt>
                <c:pt idx="71">
                  <c:v>7.0729899607333753</c:v>
                </c:pt>
                <c:pt idx="72">
                  <c:v>7.278295377271907</c:v>
                </c:pt>
                <c:pt idx="73">
                  <c:v>7.4907047610844222</c:v>
                </c:pt>
                <c:pt idx="74">
                  <c:v>7.7105587620517904</c:v>
                </c:pt>
                <c:pt idx="75">
                  <c:v>7.9382201636578982</c:v>
                </c:pt>
                <c:pt idx="76">
                  <c:v>8.1740757103258552</c:v>
                </c:pt>
                <c:pt idx="77">
                  <c:v>8.4185381188301402</c:v>
                </c:pt>
                <c:pt idx="78">
                  <c:v>8.6720482957872136</c:v>
                </c:pt>
                <c:pt idx="79">
                  <c:v>8.935077786285424</c:v>
                </c:pt>
                <c:pt idx="80">
                  <c:v>9.2081314822590965</c:v>
                </c:pt>
                <c:pt idx="81">
                  <c:v>9.4917506233305389</c:v>
                </c:pt>
                <c:pt idx="82">
                  <c:v>9.7865161276417272</c:v>
                </c:pt>
                <c:pt idx="83">
                  <c:v>10.093052295801424</c:v>
                </c:pt>
                <c:pt idx="84">
                  <c:v>10.412030937637311</c:v>
                </c:pt>
                <c:pt idx="85">
                  <c:v>10.744175979152253</c:v>
                </c:pt>
                <c:pt idx="86">
                  <c:v>11.090268616165266</c:v>
                </c:pt>
                <c:pt idx="87">
                  <c:v>11.451153091848713</c:v>
                </c:pt>
                <c:pt idx="88">
                  <c:v>11.827743188092837</c:v>
                </c:pt>
                <c:pt idx="89">
                  <c:v>12.221029535754868</c:v>
                </c:pt>
                <c:pt idx="90">
                  <c:v>12.632087866900424</c:v>
                </c:pt>
                <c:pt idx="91">
                  <c:v>13.062088353760236</c:v>
                </c:pt>
                <c:pt idx="92">
                  <c:v>13.512306205106551</c:v>
                </c:pt>
                <c:pt idx="93">
                  <c:v>13.984133722102321</c:v>
                </c:pt>
                <c:pt idx="94">
                  <c:v>14.479094053654226</c:v>
                </c:pt>
                <c:pt idx="95">
                  <c:v>14.998856937501628</c:v>
                </c:pt>
                <c:pt idx="96">
                  <c:v>15.545256769726608</c:v>
                </c:pt>
                <c:pt idx="97">
                  <c:v>16.120313414664913</c:v>
                </c:pt>
                <c:pt idx="98">
                  <c:v>16.726256252665241</c:v>
                </c:pt>
                <c:pt idx="99">
                  <c:v>17.365552069089734</c:v>
                </c:pt>
                <c:pt idx="100">
                  <c:v>18.040937519973536</c:v>
                </c:pt>
                <c:pt idx="101">
                  <c:v>18.755457075197171</c:v>
                </c:pt>
                <c:pt idx="102">
                  <c:v>19.512507548542541</c:v>
                </c:pt>
                <c:pt idx="103">
                  <c:v>20.315890588433557</c:v>
                </c:pt>
                <c:pt idx="104">
                  <c:v>21.169874840680745</c:v>
                </c:pt>
                <c:pt idx="105">
                  <c:v>22.079269928308882</c:v>
                </c:pt>
                <c:pt idx="106">
                  <c:v>23.049514955040749</c:v>
                </c:pt>
                <c:pt idx="107">
                  <c:v>24.086784971444292</c:v>
                </c:pt>
                <c:pt idx="108">
                  <c:v>25.198119805974194</c:v>
                </c:pt>
                <c:pt idx="109">
                  <c:v>26.391580940885202</c:v>
                </c:pt>
                <c:pt idx="110">
                  <c:v>27.676443823670464</c:v>
                </c:pt>
                <c:pt idx="111">
                  <c:v>29.063435317648199</c:v>
                </c:pt>
                <c:pt idx="112">
                  <c:v>30.565029155788942</c:v>
                </c:pt>
                <c:pt idx="113">
                  <c:v>32.195816629529105</c:v>
                </c:pt>
                <c:pt idx="114">
                  <c:v>33.972975854192697</c:v>
                </c:pt>
                <c:pt idx="115">
                  <c:v>35.916871612730354</c:v>
                </c:pt>
                <c:pt idx="116">
                  <c:v>38.051830230008299</c:v>
                </c:pt>
                <c:pt idx="117">
                  <c:v>40.407152108448763</c:v>
                </c:pt>
                <c:pt idx="118">
                  <c:v>43.018451548244869</c:v>
                </c:pt>
                <c:pt idx="119">
                  <c:v>45.929454300236202</c:v>
                </c:pt>
                <c:pt idx="120">
                  <c:v>49.194446308481503</c:v>
                </c:pt>
                <c:pt idx="121">
                  <c:v>52.881666547486333</c:v>
                </c:pt>
                <c:pt idx="122">
                  <c:v>57.078097768401499</c:v>
                </c:pt>
                <c:pt idx="123">
                  <c:v>61.896376656593809</c:v>
                </c:pt>
                <c:pt idx="124">
                  <c:v>63.124930938112406</c:v>
                </c:pt>
                <c:pt idx="125">
                  <c:v>64.018749921784263</c:v>
                </c:pt>
                <c:pt idx="126">
                  <c:v>64.679088892160948</c:v>
                </c:pt>
                <c:pt idx="127">
                  <c:v>65.339477350118031</c:v>
                </c:pt>
                <c:pt idx="128">
                  <c:v>65.99991398700341</c:v>
                </c:pt>
                <c:pt idx="129">
                  <c:v>67.651208181376191</c:v>
                </c:pt>
                <c:pt idx="130">
                  <c:v>69.302777146089014</c:v>
                </c:pt>
                <c:pt idx="131">
                  <c:v>70.954603842469169</c:v>
                </c:pt>
                <c:pt idx="132">
                  <c:v>72.606672612085077</c:v>
                </c:pt>
                <c:pt idx="133">
                  <c:v>74.25896903976016</c:v>
                </c:pt>
                <c:pt idx="134">
                  <c:v>75.911479832583581</c:v>
                </c:pt>
                <c:pt idx="135">
                  <c:v>79.217096322625508</c:v>
                </c:pt>
                <c:pt idx="136">
                  <c:v>82.523434402181991</c:v>
                </c:pt>
                <c:pt idx="137">
                  <c:v>85.830418615946073</c:v>
                </c:pt>
                <c:pt idx="138">
                  <c:v>89.137983674565291</c:v>
                </c:pt>
                <c:pt idx="139">
                  <c:v>92.4460727983775</c:v>
                </c:pt>
                <c:pt idx="140">
                  <c:v>95.754636374739917</c:v>
                </c:pt>
                <c:pt idx="141">
                  <c:v>99.06363086179995</c:v>
                </c:pt>
                <c:pt idx="142">
                  <c:v>102.37301788750131</c:v>
                </c:pt>
                <c:pt idx="143">
                  <c:v>105.68276350442943</c:v>
                </c:pt>
                <c:pt idx="144">
                  <c:v>108.33079781363975</c:v>
                </c:pt>
                <c:pt idx="145">
                  <c:v>108.33079781363975</c:v>
                </c:pt>
              </c:numCache>
            </c:numRef>
          </c:xVal>
          <c:yVal>
            <c:numRef>
              <c:f>Ver130kHz!$Q$214:$Q$359</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22.026757883358133</c:v>
                </c:pt>
                <c:pt idx="57">
                  <c:v>22.303606436933268</c:v>
                </c:pt>
                <c:pt idx="58">
                  <c:v>22.58750284716422</c:v>
                </c:pt>
                <c:pt idx="59">
                  <c:v>22.878719714535098</c:v>
                </c:pt>
                <c:pt idx="60">
                  <c:v>23.177543881517952</c:v>
                </c:pt>
                <c:pt idx="61">
                  <c:v>23.48427737497089</c:v>
                </c:pt>
                <c:pt idx="62">
                  <c:v>23.799238424370419</c:v>
                </c:pt>
                <c:pt idx="63">
                  <c:v>24.122762563094199</c:v>
                </c:pt>
                <c:pt idx="64">
                  <c:v>24.455203820765959</c:v>
                </c:pt>
                <c:pt idx="65">
                  <c:v>24.796936015569976</c:v>
                </c:pt>
                <c:pt idx="66">
                  <c:v>25.148354156452349</c:v>
                </c:pt>
                <c:pt idx="67">
                  <c:v>25.509875966266939</c:v>
                </c:pt>
                <c:pt idx="68">
                  <c:v>25.881943538213928</c:v>
                </c:pt>
                <c:pt idx="69">
                  <c:v>26.265025139381205</c:v>
                </c:pt>
                <c:pt idx="70">
                  <c:v>26.659617176858553</c:v>
                </c:pt>
                <c:pt idx="71">
                  <c:v>27.066246343782272</c:v>
                </c:pt>
                <c:pt idx="72">
                  <c:v>27.485471964818597</c:v>
                </c:pt>
                <c:pt idx="73">
                  <c:v>27.917888563049853</c:v>
                </c:pt>
                <c:pt idx="74">
                  <c:v>28.364128673035488</c:v>
                </c:pt>
                <c:pt idx="75">
                  <c:v>28.824865928039575</c:v>
                </c:pt>
                <c:pt idx="76">
                  <c:v>29.300818453113759</c:v>
                </c:pt>
                <c:pt idx="77">
                  <c:v>29.792752599980972</c:v>
                </c:pt>
                <c:pt idx="78">
                  <c:v>30.301487064575266</c:v>
                </c:pt>
                <c:pt idx="79">
                  <c:v>30.82789743377182</c:v>
                </c:pt>
                <c:pt idx="80">
                  <c:v>31.372921214422043</c:v>
                </c:pt>
                <c:pt idx="81">
                  <c:v>31.937563405456757</c:v>
                </c:pt>
                <c:pt idx="82">
                  <c:v>32.522902682729509</c:v>
                </c:pt>
                <c:pt idx="83">
                  <c:v>33.130098276678069</c:v>
                </c:pt>
                <c:pt idx="84">
                  <c:v>33.76039763506995</c:v>
                </c:pt>
                <c:pt idx="85">
                  <c:v>34.415144977413249</c:v>
                </c:pt>
                <c:pt idx="86">
                  <c:v>35.095790864477152</c:v>
                </c:pt>
                <c:pt idx="87">
                  <c:v>35.803902926292089</c:v>
                </c:pt>
                <c:pt idx="88">
                  <c:v>36.54117791561751</c:v>
                </c:pt>
                <c:pt idx="89">
                  <c:v>37.309455281952879</c:v>
                </c:pt>
                <c:pt idx="90">
                  <c:v>38.11073249468371</c:v>
                </c:pt>
                <c:pt idx="91">
                  <c:v>38.947182384091214</c:v>
                </c:pt>
                <c:pt idx="92">
                  <c:v>39.821172817197386</c:v>
                </c:pt>
                <c:pt idx="93">
                  <c:v>40.735289083627144</c:v>
                </c:pt>
                <c:pt idx="94">
                  <c:v>41.692359437188173</c:v>
                </c:pt>
                <c:pt idx="95">
                  <c:v>42.695484324657897</c:v>
                </c:pt>
                <c:pt idx="96">
                  <c:v>43.748069938090964</c:v>
                </c:pt>
                <c:pt idx="97">
                  <c:v>44.853866855630855</c:v>
                </c:pt>
                <c:pt idx="98">
                  <c:v>46.017014694508909</c:v>
                </c:pt>
                <c:pt idx="99">
                  <c:v>47.242093896639055</c:v>
                </c:pt>
                <c:pt idx="100">
                  <c:v>48.534186012366021</c:v>
                </c:pt>
                <c:pt idx="101">
                  <c:v>49.8989441551144</c:v>
                </c:pt>
                <c:pt idx="102">
                  <c:v>51.342675686870059</c:v>
                </c:pt>
                <c:pt idx="103">
                  <c:v>52.872439685431154</c:v>
                </c:pt>
                <c:pt idx="104">
                  <c:v>54.496162371086768</c:v>
                </c:pt>
                <c:pt idx="105">
                  <c:v>56.222774475805288</c:v>
                </c:pt>
                <c:pt idx="106">
                  <c:v>58.062375580623716</c:v>
                </c:pt>
                <c:pt idx="107">
                  <c:v>60.026431806946903</c:v>
                </c:pt>
                <c:pt idx="108">
                  <c:v>62.128015036023768</c:v>
                </c:pt>
                <c:pt idx="109">
                  <c:v>64.38209420344738</c:v>
                </c:pt>
                <c:pt idx="110">
                  <c:v>66.805892391987754</c:v>
                </c:pt>
                <c:pt idx="111">
                  <c:v>69.419327740896691</c:v>
                </c:pt>
                <c:pt idx="112">
                  <c:v>72.245562058330648</c:v>
                </c:pt>
                <c:pt idx="113">
                  <c:v>75.311689133599103</c:v>
                </c:pt>
                <c:pt idx="114">
                  <c:v>78.649606091048369</c:v>
                </c:pt>
                <c:pt idx="115">
                  <c:v>82.297127207845165</c:v>
                </c:pt>
                <c:pt idx="116">
                  <c:v>86.299422736634369</c:v>
                </c:pt>
                <c:pt idx="117">
                  <c:v>90.710899028859785</c:v>
                </c:pt>
                <c:pt idx="118">
                  <c:v>95.597686375321189</c:v>
                </c:pt>
                <c:pt idx="119">
                  <c:v>101.04097678604779</c:v>
                </c:pt>
                <c:pt idx="120">
                  <c:v>107.14157092952043</c:v>
                </c:pt>
                <c:pt idx="121">
                  <c:v>114.02617811080658</c:v>
                </c:pt>
                <c:pt idx="122">
                  <c:v>121.85631195215844</c:v>
                </c:pt>
                <c:pt idx="123">
                  <c:v>130.8411214953272</c:v>
                </c:pt>
                <c:pt idx="124">
                  <c:v>130.84112149532709</c:v>
                </c:pt>
                <c:pt idx="125">
                  <c:v>130.1361359767188</c:v>
                </c:pt>
                <c:pt idx="126">
                  <c:v>128.96844143416874</c:v>
                </c:pt>
                <c:pt idx="127">
                  <c:v>127.82151567710352</c:v>
                </c:pt>
                <c:pt idx="128">
                  <c:v>126.69480949472219</c:v>
                </c:pt>
                <c:pt idx="129">
                  <c:v>123.9630714487367</c:v>
                </c:pt>
                <c:pt idx="130">
                  <c:v>121.34664811822002</c:v>
                </c:pt>
                <c:pt idx="131">
                  <c:v>118.83838876886647</c:v>
                </c:pt>
                <c:pt idx="132">
                  <c:v>116.43172192145344</c:v>
                </c:pt>
                <c:pt idx="133">
                  <c:v>114.12059786190906</c:v>
                </c:pt>
                <c:pt idx="134">
                  <c:v>111.89943786503271</c:v>
                </c:pt>
                <c:pt idx="135">
                  <c:v>107.70678539739787</c:v>
                </c:pt>
                <c:pt idx="136">
                  <c:v>103.81696725144667</c:v>
                </c:pt>
                <c:pt idx="137">
                  <c:v>100.19831659138934</c:v>
                </c:pt>
                <c:pt idx="138">
                  <c:v>96.823432995813718</c:v>
                </c:pt>
                <c:pt idx="139">
                  <c:v>93.66848736224226</c:v>
                </c:pt>
                <c:pt idx="140">
                  <c:v>90.71265841944431</c:v>
                </c:pt>
                <c:pt idx="141">
                  <c:v>87.937672665466437</c:v>
                </c:pt>
                <c:pt idx="142">
                  <c:v>85.327426241543677</c:v>
                </c:pt>
                <c:pt idx="143">
                  <c:v>82.867672207995454</c:v>
                </c:pt>
                <c:pt idx="144">
                  <c:v>80.999674680930639</c:v>
                </c:pt>
                <c:pt idx="145">
                  <c:v>80.999674680930639</c:v>
                </c:pt>
              </c:numCache>
            </c:numRef>
          </c:yVal>
          <c:smooth val="1"/>
        </c:ser>
        <c:ser>
          <c:idx val="5"/>
          <c:order val="4"/>
          <c:tx>
            <c:strRef>
              <c:f>Ver130kHz!$S$212</c:f>
              <c:strCache>
                <c:ptCount val="1"/>
                <c:pt idx="0">
                  <c:v>Peak at 115VAC </c:v>
                </c:pt>
              </c:strCache>
            </c:strRef>
          </c:tx>
          <c:spPr>
            <a:ln>
              <a:solidFill>
                <a:srgbClr val="CC0066"/>
              </a:solidFill>
            </a:ln>
          </c:spPr>
          <c:marker>
            <c:symbol val="none"/>
          </c:marker>
          <c:xVal>
            <c:numRef>
              <c:f>Ver130kHz!$V$214:$V$359</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4.6659984042518658</c:v>
                </c:pt>
                <c:pt idx="57">
                  <c:v>4.7946270126310253</c:v>
                </c:pt>
                <c:pt idx="58">
                  <c:v>4.9270512263163555</c:v>
                </c:pt>
                <c:pt idx="59">
                  <c:v>5.0634178536063903</c:v>
                </c:pt>
                <c:pt idx="60">
                  <c:v>5.2038813727861086</c:v>
                </c:pt>
                <c:pt idx="61">
                  <c:v>5.3486044396530383</c:v>
                </c:pt>
                <c:pt idx="62">
                  <c:v>5.4977584358837088</c:v>
                </c:pt>
                <c:pt idx="63">
                  <c:v>5.6515240621266782</c:v>
                </c:pt>
                <c:pt idx="64">
                  <c:v>5.8100919801368613</c:v>
                </c:pt>
                <c:pt idx="65">
                  <c:v>5.9736635087482002</c:v>
                </c:pt>
                <c:pt idx="66">
                  <c:v>6.1424513790256245</c:v>
                </c:pt>
                <c:pt idx="67">
                  <c:v>6.3166805545513975</c:v>
                </c:pt>
                <c:pt idx="68">
                  <c:v>6.4965891234959194</c:v>
                </c:pt>
                <c:pt idx="69">
                  <c:v>6.6824292699103633</c:v>
                </c:pt>
                <c:pt idx="70">
                  <c:v>6.8744683325724552</c:v>
                </c:pt>
                <c:pt idx="71">
                  <c:v>7.0729899607333753</c:v>
                </c:pt>
                <c:pt idx="72">
                  <c:v>7.278295377271907</c:v>
                </c:pt>
                <c:pt idx="73">
                  <c:v>7.4907047610844222</c:v>
                </c:pt>
                <c:pt idx="74">
                  <c:v>7.7105587620517904</c:v>
                </c:pt>
                <c:pt idx="75">
                  <c:v>7.9382201636578982</c:v>
                </c:pt>
                <c:pt idx="76">
                  <c:v>8.1740757103258552</c:v>
                </c:pt>
                <c:pt idx="77">
                  <c:v>8.4185381188301402</c:v>
                </c:pt>
                <c:pt idx="78">
                  <c:v>8.6720482957872136</c:v>
                </c:pt>
                <c:pt idx="79">
                  <c:v>8.935077786285424</c:v>
                </c:pt>
                <c:pt idx="80">
                  <c:v>9.2081314822590965</c:v>
                </c:pt>
                <c:pt idx="81">
                  <c:v>9.4917506233305389</c:v>
                </c:pt>
                <c:pt idx="82">
                  <c:v>9.7865161276417272</c:v>
                </c:pt>
                <c:pt idx="83">
                  <c:v>10.093052295801424</c:v>
                </c:pt>
                <c:pt idx="84">
                  <c:v>10.412030937637311</c:v>
                </c:pt>
                <c:pt idx="85">
                  <c:v>10.744175979152253</c:v>
                </c:pt>
                <c:pt idx="86">
                  <c:v>11.090268616165266</c:v>
                </c:pt>
                <c:pt idx="87">
                  <c:v>11.451153091848713</c:v>
                </c:pt>
                <c:pt idx="88">
                  <c:v>11.827743188092837</c:v>
                </c:pt>
                <c:pt idx="89">
                  <c:v>12.221029535754868</c:v>
                </c:pt>
                <c:pt idx="90">
                  <c:v>12.632087866900424</c:v>
                </c:pt>
                <c:pt idx="91">
                  <c:v>13.062088353760236</c:v>
                </c:pt>
                <c:pt idx="92">
                  <c:v>13.512306205106551</c:v>
                </c:pt>
                <c:pt idx="93">
                  <c:v>13.984133722102321</c:v>
                </c:pt>
                <c:pt idx="94">
                  <c:v>14.479094053654226</c:v>
                </c:pt>
                <c:pt idx="95">
                  <c:v>14.998856937501628</c:v>
                </c:pt>
                <c:pt idx="96">
                  <c:v>15.545256769726608</c:v>
                </c:pt>
                <c:pt idx="97">
                  <c:v>16.120313414664913</c:v>
                </c:pt>
                <c:pt idx="98">
                  <c:v>16.726256252665241</c:v>
                </c:pt>
                <c:pt idx="99">
                  <c:v>17.365552069089734</c:v>
                </c:pt>
                <c:pt idx="100">
                  <c:v>18.040937519973536</c:v>
                </c:pt>
                <c:pt idx="101">
                  <c:v>18.755457075197171</c:v>
                </c:pt>
                <c:pt idx="102">
                  <c:v>19.512507548542541</c:v>
                </c:pt>
                <c:pt idx="103">
                  <c:v>20.315890588433557</c:v>
                </c:pt>
                <c:pt idx="104">
                  <c:v>21.169874840680745</c:v>
                </c:pt>
                <c:pt idx="105">
                  <c:v>22.079269928308882</c:v>
                </c:pt>
                <c:pt idx="106">
                  <c:v>23.049514955040749</c:v>
                </c:pt>
                <c:pt idx="107">
                  <c:v>24.086784971444292</c:v>
                </c:pt>
                <c:pt idx="108">
                  <c:v>25.198119805974194</c:v>
                </c:pt>
                <c:pt idx="109">
                  <c:v>26.391580940885202</c:v>
                </c:pt>
                <c:pt idx="110">
                  <c:v>27.676443823670464</c:v>
                </c:pt>
                <c:pt idx="111">
                  <c:v>29.063435317648199</c:v>
                </c:pt>
                <c:pt idx="112">
                  <c:v>30.565029155788942</c:v>
                </c:pt>
                <c:pt idx="113">
                  <c:v>32.195816629529105</c:v>
                </c:pt>
                <c:pt idx="114">
                  <c:v>33.972975854192697</c:v>
                </c:pt>
                <c:pt idx="115">
                  <c:v>35.916871612730354</c:v>
                </c:pt>
                <c:pt idx="116">
                  <c:v>38.051830230008299</c:v>
                </c:pt>
                <c:pt idx="117">
                  <c:v>40.407152108448763</c:v>
                </c:pt>
                <c:pt idx="118">
                  <c:v>43.018451548244869</c:v>
                </c:pt>
                <c:pt idx="119">
                  <c:v>45.929454300236202</c:v>
                </c:pt>
                <c:pt idx="120">
                  <c:v>49.194446308481503</c:v>
                </c:pt>
                <c:pt idx="121">
                  <c:v>52.881666547486333</c:v>
                </c:pt>
                <c:pt idx="122">
                  <c:v>57.078097768401499</c:v>
                </c:pt>
                <c:pt idx="123">
                  <c:v>61.896376656593809</c:v>
                </c:pt>
                <c:pt idx="124">
                  <c:v>63.124930938112406</c:v>
                </c:pt>
                <c:pt idx="125">
                  <c:v>64.365558218154291</c:v>
                </c:pt>
                <c:pt idx="126">
                  <c:v>65.618258496719321</c:v>
                </c:pt>
                <c:pt idx="127">
                  <c:v>66.88303177380763</c:v>
                </c:pt>
                <c:pt idx="128">
                  <c:v>68.15987804941912</c:v>
                </c:pt>
                <c:pt idx="129">
                  <c:v>71.404813106986893</c:v>
                </c:pt>
                <c:pt idx="130">
                  <c:v>73.790502403332042</c:v>
                </c:pt>
                <c:pt idx="131">
                  <c:v>75.55582605648479</c:v>
                </c:pt>
                <c:pt idx="132">
                  <c:v>77.321441995219686</c:v>
                </c:pt>
                <c:pt idx="133">
                  <c:v>79.087332882756783</c:v>
                </c:pt>
                <c:pt idx="134">
                  <c:v>80.853482726830066</c:v>
                </c:pt>
                <c:pt idx="135">
                  <c:v>84.386501285253829</c:v>
                </c:pt>
                <c:pt idx="136">
                  <c:v>87.920392107523398</c:v>
                </c:pt>
                <c:pt idx="137">
                  <c:v>91.455064297839257</c:v>
                </c:pt>
                <c:pt idx="138">
                  <c:v>94.990439165720019</c:v>
                </c:pt>
                <c:pt idx="139">
                  <c:v>98.526448243906515</c:v>
                </c:pt>
                <c:pt idx="140">
                  <c:v>102.06303168037611</c:v>
                </c:pt>
                <c:pt idx="141">
                  <c:v>105.60013692460083</c:v>
                </c:pt>
                <c:pt idx="142">
                  <c:v>109.13771764709003</c:v>
                </c:pt>
                <c:pt idx="143">
                  <c:v>112.6757328452787</c:v>
                </c:pt>
                <c:pt idx="144">
                  <c:v>115.50643321465328</c:v>
                </c:pt>
                <c:pt idx="145">
                  <c:v>115.50643321465328</c:v>
                </c:pt>
              </c:numCache>
            </c:numRef>
          </c:xVal>
          <c:yVal>
            <c:numRef>
              <c:f>Ver130kHz!$U$214:$U$359</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22.026757883358133</c:v>
                </c:pt>
                <c:pt idx="57">
                  <c:v>22.303606436933268</c:v>
                </c:pt>
                <c:pt idx="58">
                  <c:v>22.58750284716422</c:v>
                </c:pt>
                <c:pt idx="59">
                  <c:v>22.878719714535098</c:v>
                </c:pt>
                <c:pt idx="60">
                  <c:v>23.177543881517952</c:v>
                </c:pt>
                <c:pt idx="61">
                  <c:v>23.48427737497089</c:v>
                </c:pt>
                <c:pt idx="62">
                  <c:v>23.799238424370419</c:v>
                </c:pt>
                <c:pt idx="63">
                  <c:v>24.122762563094199</c:v>
                </c:pt>
                <c:pt idx="64">
                  <c:v>24.455203820765959</c:v>
                </c:pt>
                <c:pt idx="65">
                  <c:v>24.796936015569976</c:v>
                </c:pt>
                <c:pt idx="66">
                  <c:v>25.148354156452349</c:v>
                </c:pt>
                <c:pt idx="67">
                  <c:v>25.509875966266939</c:v>
                </c:pt>
                <c:pt idx="68">
                  <c:v>25.881943538213928</c:v>
                </c:pt>
                <c:pt idx="69">
                  <c:v>26.265025139381205</c:v>
                </c:pt>
                <c:pt idx="70">
                  <c:v>26.659617176858553</c:v>
                </c:pt>
                <c:pt idx="71">
                  <c:v>27.066246343782272</c:v>
                </c:pt>
                <c:pt idx="72">
                  <c:v>27.485471964818597</c:v>
                </c:pt>
                <c:pt idx="73">
                  <c:v>27.917888563049853</c:v>
                </c:pt>
                <c:pt idx="74">
                  <c:v>28.364128673035488</c:v>
                </c:pt>
                <c:pt idx="75">
                  <c:v>28.824865928039575</c:v>
                </c:pt>
                <c:pt idx="76">
                  <c:v>29.300818453113759</c:v>
                </c:pt>
                <c:pt idx="77">
                  <c:v>29.792752599980972</c:v>
                </c:pt>
                <c:pt idx="78">
                  <c:v>30.301487064575266</c:v>
                </c:pt>
                <c:pt idx="79">
                  <c:v>30.82789743377182</c:v>
                </c:pt>
                <c:pt idx="80">
                  <c:v>31.372921214422043</c:v>
                </c:pt>
                <c:pt idx="81">
                  <c:v>31.937563405456757</c:v>
                </c:pt>
                <c:pt idx="82">
                  <c:v>32.522902682729509</c:v>
                </c:pt>
                <c:pt idx="83">
                  <c:v>33.130098276678069</c:v>
                </c:pt>
                <c:pt idx="84">
                  <c:v>33.76039763506995</c:v>
                </c:pt>
                <c:pt idx="85">
                  <c:v>34.415144977413249</c:v>
                </c:pt>
                <c:pt idx="86">
                  <c:v>35.095790864477152</c:v>
                </c:pt>
                <c:pt idx="87">
                  <c:v>35.803902926292089</c:v>
                </c:pt>
                <c:pt idx="88">
                  <c:v>36.54117791561751</c:v>
                </c:pt>
                <c:pt idx="89">
                  <c:v>37.309455281952879</c:v>
                </c:pt>
                <c:pt idx="90">
                  <c:v>38.11073249468371</c:v>
                </c:pt>
                <c:pt idx="91">
                  <c:v>38.947182384091214</c:v>
                </c:pt>
                <c:pt idx="92">
                  <c:v>39.821172817197386</c:v>
                </c:pt>
                <c:pt idx="93">
                  <c:v>40.735289083627144</c:v>
                </c:pt>
                <c:pt idx="94">
                  <c:v>41.692359437188173</c:v>
                </c:pt>
                <c:pt idx="95">
                  <c:v>42.695484324657897</c:v>
                </c:pt>
                <c:pt idx="96">
                  <c:v>43.748069938090964</c:v>
                </c:pt>
                <c:pt idx="97">
                  <c:v>44.853866855630855</c:v>
                </c:pt>
                <c:pt idx="98">
                  <c:v>46.017014694508909</c:v>
                </c:pt>
                <c:pt idx="99">
                  <c:v>47.242093896639055</c:v>
                </c:pt>
                <c:pt idx="100">
                  <c:v>48.534186012366021</c:v>
                </c:pt>
                <c:pt idx="101">
                  <c:v>49.8989441551144</c:v>
                </c:pt>
                <c:pt idx="102">
                  <c:v>51.342675686870059</c:v>
                </c:pt>
                <c:pt idx="103">
                  <c:v>52.872439685431154</c:v>
                </c:pt>
                <c:pt idx="104">
                  <c:v>54.496162371086768</c:v>
                </c:pt>
                <c:pt idx="105">
                  <c:v>56.222774475805288</c:v>
                </c:pt>
                <c:pt idx="106">
                  <c:v>58.062375580623716</c:v>
                </c:pt>
                <c:pt idx="107">
                  <c:v>60.026431806946903</c:v>
                </c:pt>
                <c:pt idx="108">
                  <c:v>62.128015036023768</c:v>
                </c:pt>
                <c:pt idx="109">
                  <c:v>64.38209420344738</c:v>
                </c:pt>
                <c:pt idx="110">
                  <c:v>66.805892391987754</c:v>
                </c:pt>
                <c:pt idx="111">
                  <c:v>69.419327740896691</c:v>
                </c:pt>
                <c:pt idx="112">
                  <c:v>72.245562058330648</c:v>
                </c:pt>
                <c:pt idx="113">
                  <c:v>75.311689133599103</c:v>
                </c:pt>
                <c:pt idx="114">
                  <c:v>78.649606091048369</c:v>
                </c:pt>
                <c:pt idx="115">
                  <c:v>82.297127207845165</c:v>
                </c:pt>
                <c:pt idx="116">
                  <c:v>86.299422736634369</c:v>
                </c:pt>
                <c:pt idx="117">
                  <c:v>90.710899028859785</c:v>
                </c:pt>
                <c:pt idx="118">
                  <c:v>95.597686375321189</c:v>
                </c:pt>
                <c:pt idx="119">
                  <c:v>101.04097678604779</c:v>
                </c:pt>
                <c:pt idx="120">
                  <c:v>107.14157092952043</c:v>
                </c:pt>
                <c:pt idx="121">
                  <c:v>114.02617811080658</c:v>
                </c:pt>
                <c:pt idx="122">
                  <c:v>121.85631195215844</c:v>
                </c:pt>
                <c:pt idx="123">
                  <c:v>130.8411214953272</c:v>
                </c:pt>
                <c:pt idx="124">
                  <c:v>130.84112149532709</c:v>
                </c:pt>
                <c:pt idx="125">
                  <c:v>130.84112149532709</c:v>
                </c:pt>
                <c:pt idx="126">
                  <c:v>130.84112149532709</c:v>
                </c:pt>
                <c:pt idx="127">
                  <c:v>130.84112149532709</c:v>
                </c:pt>
                <c:pt idx="128">
                  <c:v>130.84112149532709</c:v>
                </c:pt>
                <c:pt idx="129">
                  <c:v>130.84112149532709</c:v>
                </c:pt>
                <c:pt idx="130">
                  <c:v>129.20449220567951</c:v>
                </c:pt>
                <c:pt idx="131">
                  <c:v>126.54475036726426</c:v>
                </c:pt>
                <c:pt idx="132">
                  <c:v>123.99230413782595</c:v>
                </c:pt>
                <c:pt idx="133">
                  <c:v>121.54078932945519</c:v>
                </c:pt>
                <c:pt idx="134">
                  <c:v>119.18433531418214</c:v>
                </c:pt>
                <c:pt idx="135">
                  <c:v>114.73531859021355</c:v>
                </c:pt>
                <c:pt idx="136">
                  <c:v>110.606502677496</c:v>
                </c:pt>
                <c:pt idx="137">
                  <c:v>106.7645204831646</c:v>
                </c:pt>
                <c:pt idx="138">
                  <c:v>103.18048538525981</c:v>
                </c:pt>
                <c:pt idx="139">
                  <c:v>99.829263621709487</c:v>
                </c:pt>
                <c:pt idx="140">
                  <c:v>96.688884012275892</c:v>
                </c:pt>
                <c:pt idx="141">
                  <c:v>93.740055694696508</c:v>
                </c:pt>
                <c:pt idx="142">
                  <c:v>90.965771497876759</c:v>
                </c:pt>
                <c:pt idx="143">
                  <c:v>88.350979720802613</c:v>
                </c:pt>
                <c:pt idx="144">
                  <c:v>86.364946098122076</c:v>
                </c:pt>
                <c:pt idx="145">
                  <c:v>86.364946098122076</c:v>
                </c:pt>
              </c:numCache>
            </c:numRef>
          </c:yVal>
          <c:smooth val="1"/>
        </c:ser>
        <c:ser>
          <c:idx val="7"/>
          <c:order val="5"/>
          <c:tx>
            <c:strRef>
              <c:f>Ver130kHz!$W$212</c:f>
              <c:strCache>
                <c:ptCount val="1"/>
                <c:pt idx="0">
                  <c:v>Peak at 135VAC </c:v>
                </c:pt>
              </c:strCache>
            </c:strRef>
          </c:tx>
          <c:spPr>
            <a:ln>
              <a:solidFill>
                <a:srgbClr val="FF9900"/>
              </a:solidFill>
            </a:ln>
          </c:spPr>
          <c:marker>
            <c:symbol val="none"/>
          </c:marker>
          <c:xVal>
            <c:numRef>
              <c:f>Ver130kHz!$Z$214:$Z$359</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4.6659984042518658</c:v>
                </c:pt>
                <c:pt idx="57">
                  <c:v>4.7946270126310253</c:v>
                </c:pt>
                <c:pt idx="58">
                  <c:v>4.9270512263163555</c:v>
                </c:pt>
                <c:pt idx="59">
                  <c:v>5.0634178536063903</c:v>
                </c:pt>
                <c:pt idx="60">
                  <c:v>5.2038813727861086</c:v>
                </c:pt>
                <c:pt idx="61">
                  <c:v>5.3486044396530383</c:v>
                </c:pt>
                <c:pt idx="62">
                  <c:v>5.4977584358837088</c:v>
                </c:pt>
                <c:pt idx="63">
                  <c:v>5.6515240621266782</c:v>
                </c:pt>
                <c:pt idx="64">
                  <c:v>5.8100919801368613</c:v>
                </c:pt>
                <c:pt idx="65">
                  <c:v>5.9736635087482002</c:v>
                </c:pt>
                <c:pt idx="66">
                  <c:v>6.1424513790256245</c:v>
                </c:pt>
                <c:pt idx="67">
                  <c:v>6.3166805545513975</c:v>
                </c:pt>
                <c:pt idx="68">
                  <c:v>6.4965891234959194</c:v>
                </c:pt>
                <c:pt idx="69">
                  <c:v>6.6824292699103633</c:v>
                </c:pt>
                <c:pt idx="70">
                  <c:v>6.8744683325724552</c:v>
                </c:pt>
                <c:pt idx="71">
                  <c:v>7.0729899607333753</c:v>
                </c:pt>
                <c:pt idx="72">
                  <c:v>7.278295377271907</c:v>
                </c:pt>
                <c:pt idx="73">
                  <c:v>7.4907047610844222</c:v>
                </c:pt>
                <c:pt idx="74">
                  <c:v>7.7105587620517904</c:v>
                </c:pt>
                <c:pt idx="75">
                  <c:v>7.9382201636578982</c:v>
                </c:pt>
                <c:pt idx="76">
                  <c:v>8.1740757103258552</c:v>
                </c:pt>
                <c:pt idx="77">
                  <c:v>8.4185381188301402</c:v>
                </c:pt>
                <c:pt idx="78">
                  <c:v>8.6720482957872136</c:v>
                </c:pt>
                <c:pt idx="79">
                  <c:v>8.935077786285424</c:v>
                </c:pt>
                <c:pt idx="80">
                  <c:v>9.2081314822590965</c:v>
                </c:pt>
                <c:pt idx="81">
                  <c:v>9.4917506233305389</c:v>
                </c:pt>
                <c:pt idx="82">
                  <c:v>9.7865161276417272</c:v>
                </c:pt>
                <c:pt idx="83">
                  <c:v>10.093052295801424</c:v>
                </c:pt>
                <c:pt idx="84">
                  <c:v>10.412030937637311</c:v>
                </c:pt>
                <c:pt idx="85">
                  <c:v>10.744175979152253</c:v>
                </c:pt>
                <c:pt idx="86">
                  <c:v>11.090268616165266</c:v>
                </c:pt>
                <c:pt idx="87">
                  <c:v>11.451153091848713</c:v>
                </c:pt>
                <c:pt idx="88">
                  <c:v>11.827743188092837</c:v>
                </c:pt>
                <c:pt idx="89">
                  <c:v>12.221029535754868</c:v>
                </c:pt>
                <c:pt idx="90">
                  <c:v>12.632087866900424</c:v>
                </c:pt>
                <c:pt idx="91">
                  <c:v>13.062088353760236</c:v>
                </c:pt>
                <c:pt idx="92">
                  <c:v>13.512306205106551</c:v>
                </c:pt>
                <c:pt idx="93">
                  <c:v>13.984133722102321</c:v>
                </c:pt>
                <c:pt idx="94">
                  <c:v>14.479094053654226</c:v>
                </c:pt>
                <c:pt idx="95">
                  <c:v>14.998856937501628</c:v>
                </c:pt>
                <c:pt idx="96">
                  <c:v>15.545256769726608</c:v>
                </c:pt>
                <c:pt idx="97">
                  <c:v>16.120313414664913</c:v>
                </c:pt>
                <c:pt idx="98">
                  <c:v>16.726256252665241</c:v>
                </c:pt>
                <c:pt idx="99">
                  <c:v>17.365552069089734</c:v>
                </c:pt>
                <c:pt idx="100">
                  <c:v>18.040937519973536</c:v>
                </c:pt>
                <c:pt idx="101">
                  <c:v>18.755457075197171</c:v>
                </c:pt>
                <c:pt idx="102">
                  <c:v>19.512507548542541</c:v>
                </c:pt>
                <c:pt idx="103">
                  <c:v>20.315890588433557</c:v>
                </c:pt>
                <c:pt idx="104">
                  <c:v>21.169874840680745</c:v>
                </c:pt>
                <c:pt idx="105">
                  <c:v>22.079269928308882</c:v>
                </c:pt>
                <c:pt idx="106">
                  <c:v>23.049514955040749</c:v>
                </c:pt>
                <c:pt idx="107">
                  <c:v>24.086784971444292</c:v>
                </c:pt>
                <c:pt idx="108">
                  <c:v>25.198119805974194</c:v>
                </c:pt>
                <c:pt idx="109">
                  <c:v>26.391580940885202</c:v>
                </c:pt>
                <c:pt idx="110">
                  <c:v>27.676443823670464</c:v>
                </c:pt>
                <c:pt idx="111">
                  <c:v>29.063435317648199</c:v>
                </c:pt>
                <c:pt idx="112">
                  <c:v>30.565029155788942</c:v>
                </c:pt>
                <c:pt idx="113">
                  <c:v>32.195816629529105</c:v>
                </c:pt>
                <c:pt idx="114">
                  <c:v>33.972975854192697</c:v>
                </c:pt>
                <c:pt idx="115">
                  <c:v>35.916871612730354</c:v>
                </c:pt>
                <c:pt idx="116">
                  <c:v>38.051830230008299</c:v>
                </c:pt>
                <c:pt idx="117">
                  <c:v>40.407152108448763</c:v>
                </c:pt>
                <c:pt idx="118">
                  <c:v>43.018451548244869</c:v>
                </c:pt>
                <c:pt idx="119">
                  <c:v>45.929454300236202</c:v>
                </c:pt>
                <c:pt idx="120">
                  <c:v>49.194446308481503</c:v>
                </c:pt>
                <c:pt idx="121">
                  <c:v>52.881666547486333</c:v>
                </c:pt>
                <c:pt idx="122">
                  <c:v>57.078097768401499</c:v>
                </c:pt>
                <c:pt idx="123">
                  <c:v>61.896376656593809</c:v>
                </c:pt>
                <c:pt idx="124">
                  <c:v>63.124930938112406</c:v>
                </c:pt>
                <c:pt idx="125">
                  <c:v>64.365558218154291</c:v>
                </c:pt>
                <c:pt idx="126">
                  <c:v>65.618258496719321</c:v>
                </c:pt>
                <c:pt idx="127">
                  <c:v>66.88303177380763</c:v>
                </c:pt>
                <c:pt idx="128">
                  <c:v>68.15987804941912</c:v>
                </c:pt>
                <c:pt idx="129">
                  <c:v>71.404813106986893</c:v>
                </c:pt>
                <c:pt idx="130">
                  <c:v>74.725204405324774</c:v>
                </c:pt>
                <c:pt idx="131">
                  <c:v>78.12105194443275</c:v>
                </c:pt>
                <c:pt idx="132">
                  <c:v>81.592355724310778</c:v>
                </c:pt>
                <c:pt idx="133">
                  <c:v>84.23316090562281</c:v>
                </c:pt>
                <c:pt idx="134">
                  <c:v>86.121254890091976</c:v>
                </c:pt>
                <c:pt idx="135">
                  <c:v>89.898311653140183</c:v>
                </c:pt>
                <c:pt idx="136">
                  <c:v>93.676422994235864</c:v>
                </c:pt>
                <c:pt idx="137">
                  <c:v>97.455479425808065</c:v>
                </c:pt>
                <c:pt idx="138">
                  <c:v>101.23538610949593</c:v>
                </c:pt>
                <c:pt idx="139">
                  <c:v>105.01606048540654</c:v>
                </c:pt>
                <c:pt idx="140">
                  <c:v>108.79743034733822</c:v>
                </c:pt>
                <c:pt idx="141">
                  <c:v>112.57943226907196</c:v>
                </c:pt>
                <c:pt idx="142">
                  <c:v>116.36201030922923</c:v>
                </c:pt>
                <c:pt idx="143">
                  <c:v>120.14511493881734</c:v>
                </c:pt>
                <c:pt idx="144">
                  <c:v>123.17194804658841</c:v>
                </c:pt>
                <c:pt idx="145">
                  <c:v>123.17194804658841</c:v>
                </c:pt>
              </c:numCache>
            </c:numRef>
          </c:xVal>
          <c:yVal>
            <c:numRef>
              <c:f>Ver130kHz!$Y$214:$Y$359</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22.026757883358133</c:v>
                </c:pt>
                <c:pt idx="57">
                  <c:v>22.303606436933268</c:v>
                </c:pt>
                <c:pt idx="58">
                  <c:v>22.58750284716422</c:v>
                </c:pt>
                <c:pt idx="59">
                  <c:v>22.878719714535098</c:v>
                </c:pt>
                <c:pt idx="60">
                  <c:v>23.177543881517952</c:v>
                </c:pt>
                <c:pt idx="61">
                  <c:v>23.48427737497089</c:v>
                </c:pt>
                <c:pt idx="62">
                  <c:v>23.799238424370419</c:v>
                </c:pt>
                <c:pt idx="63">
                  <c:v>24.122762563094199</c:v>
                </c:pt>
                <c:pt idx="64">
                  <c:v>24.455203820765959</c:v>
                </c:pt>
                <c:pt idx="65">
                  <c:v>24.796936015569976</c:v>
                </c:pt>
                <c:pt idx="66">
                  <c:v>25.148354156452349</c:v>
                </c:pt>
                <c:pt idx="67">
                  <c:v>25.509875966266939</c:v>
                </c:pt>
                <c:pt idx="68">
                  <c:v>25.881943538213928</c:v>
                </c:pt>
                <c:pt idx="69">
                  <c:v>26.265025139381205</c:v>
                </c:pt>
                <c:pt idx="70">
                  <c:v>26.659617176858553</c:v>
                </c:pt>
                <c:pt idx="71">
                  <c:v>27.066246343782272</c:v>
                </c:pt>
                <c:pt idx="72">
                  <c:v>27.485471964818597</c:v>
                </c:pt>
                <c:pt idx="73">
                  <c:v>27.917888563049853</c:v>
                </c:pt>
                <c:pt idx="74">
                  <c:v>28.364128673035488</c:v>
                </c:pt>
                <c:pt idx="75">
                  <c:v>28.824865928039575</c:v>
                </c:pt>
                <c:pt idx="76">
                  <c:v>29.300818453113759</c:v>
                </c:pt>
                <c:pt idx="77">
                  <c:v>29.792752599980972</c:v>
                </c:pt>
                <c:pt idx="78">
                  <c:v>30.301487064575266</c:v>
                </c:pt>
                <c:pt idx="79">
                  <c:v>30.82789743377182</c:v>
                </c:pt>
                <c:pt idx="80">
                  <c:v>31.372921214422043</c:v>
                </c:pt>
                <c:pt idx="81">
                  <c:v>31.937563405456757</c:v>
                </c:pt>
                <c:pt idx="82">
                  <c:v>32.522902682729509</c:v>
                </c:pt>
                <c:pt idx="83">
                  <c:v>33.130098276678069</c:v>
                </c:pt>
                <c:pt idx="84">
                  <c:v>33.76039763506995</c:v>
                </c:pt>
                <c:pt idx="85">
                  <c:v>34.415144977413249</c:v>
                </c:pt>
                <c:pt idx="86">
                  <c:v>35.095790864477152</c:v>
                </c:pt>
                <c:pt idx="87">
                  <c:v>35.803902926292089</c:v>
                </c:pt>
                <c:pt idx="88">
                  <c:v>36.54117791561751</c:v>
                </c:pt>
                <c:pt idx="89">
                  <c:v>37.309455281952879</c:v>
                </c:pt>
                <c:pt idx="90">
                  <c:v>38.11073249468371</c:v>
                </c:pt>
                <c:pt idx="91">
                  <c:v>38.947182384091214</c:v>
                </c:pt>
                <c:pt idx="92">
                  <c:v>39.821172817197386</c:v>
                </c:pt>
                <c:pt idx="93">
                  <c:v>40.735289083627144</c:v>
                </c:pt>
                <c:pt idx="94">
                  <c:v>41.692359437188173</c:v>
                </c:pt>
                <c:pt idx="95">
                  <c:v>42.695484324657897</c:v>
                </c:pt>
                <c:pt idx="96">
                  <c:v>43.748069938090964</c:v>
                </c:pt>
                <c:pt idx="97">
                  <c:v>44.853866855630855</c:v>
                </c:pt>
                <c:pt idx="98">
                  <c:v>46.017014694508909</c:v>
                </c:pt>
                <c:pt idx="99">
                  <c:v>47.242093896639055</c:v>
                </c:pt>
                <c:pt idx="100">
                  <c:v>48.534186012366021</c:v>
                </c:pt>
                <c:pt idx="101">
                  <c:v>49.8989441551144</c:v>
                </c:pt>
                <c:pt idx="102">
                  <c:v>51.342675686870059</c:v>
                </c:pt>
                <c:pt idx="103">
                  <c:v>52.872439685431154</c:v>
                </c:pt>
                <c:pt idx="104">
                  <c:v>54.496162371086768</c:v>
                </c:pt>
                <c:pt idx="105">
                  <c:v>56.222774475805288</c:v>
                </c:pt>
                <c:pt idx="106">
                  <c:v>58.062375580623716</c:v>
                </c:pt>
                <c:pt idx="107">
                  <c:v>60.026431806946903</c:v>
                </c:pt>
                <c:pt idx="108">
                  <c:v>62.128015036023768</c:v>
                </c:pt>
                <c:pt idx="109">
                  <c:v>64.38209420344738</c:v>
                </c:pt>
                <c:pt idx="110">
                  <c:v>66.805892391987754</c:v>
                </c:pt>
                <c:pt idx="111">
                  <c:v>69.419327740896691</c:v>
                </c:pt>
                <c:pt idx="112">
                  <c:v>72.245562058330648</c:v>
                </c:pt>
                <c:pt idx="113">
                  <c:v>75.311689133599103</c:v>
                </c:pt>
                <c:pt idx="114">
                  <c:v>78.649606091048369</c:v>
                </c:pt>
                <c:pt idx="115">
                  <c:v>82.297127207845165</c:v>
                </c:pt>
                <c:pt idx="116">
                  <c:v>86.299422736634369</c:v>
                </c:pt>
                <c:pt idx="117">
                  <c:v>90.710899028859785</c:v>
                </c:pt>
                <c:pt idx="118">
                  <c:v>95.597686375321189</c:v>
                </c:pt>
                <c:pt idx="119">
                  <c:v>101.04097678604779</c:v>
                </c:pt>
                <c:pt idx="120">
                  <c:v>107.14157092952043</c:v>
                </c:pt>
                <c:pt idx="121">
                  <c:v>114.02617811080658</c:v>
                </c:pt>
                <c:pt idx="122">
                  <c:v>121.85631195215844</c:v>
                </c:pt>
                <c:pt idx="123">
                  <c:v>130.8411214953272</c:v>
                </c:pt>
                <c:pt idx="124">
                  <c:v>130.84112149532709</c:v>
                </c:pt>
                <c:pt idx="125">
                  <c:v>130.84112149532709</c:v>
                </c:pt>
                <c:pt idx="126">
                  <c:v>130.84112149532709</c:v>
                </c:pt>
                <c:pt idx="127">
                  <c:v>130.84112149532709</c:v>
                </c:pt>
                <c:pt idx="128">
                  <c:v>130.84112149532709</c:v>
                </c:pt>
                <c:pt idx="129">
                  <c:v>130.84112149532709</c:v>
                </c:pt>
                <c:pt idx="130">
                  <c:v>130.84112149532709</c:v>
                </c:pt>
                <c:pt idx="131">
                  <c:v>130.84112149532709</c:v>
                </c:pt>
                <c:pt idx="132">
                  <c:v>130.84112149532709</c:v>
                </c:pt>
                <c:pt idx="133">
                  <c:v>129.44885724445157</c:v>
                </c:pt>
                <c:pt idx="134">
                  <c:v>126.94944205653628</c:v>
                </c:pt>
                <c:pt idx="135">
                  <c:v>122.22940009538897</c:v>
                </c:pt>
                <c:pt idx="136">
                  <c:v>117.847762986075</c:v>
                </c:pt>
                <c:pt idx="137">
                  <c:v>113.76939712674979</c:v>
                </c:pt>
                <c:pt idx="138">
                  <c:v>109.96386971870679</c:v>
                </c:pt>
                <c:pt idx="139">
                  <c:v>106.40468801593499</c:v>
                </c:pt>
                <c:pt idx="140">
                  <c:v>103.06868168124441</c:v>
                </c:pt>
                <c:pt idx="141">
                  <c:v>99.935497796893699</c:v>
                </c:pt>
                <c:pt idx="142">
                  <c:v>96.98718526486573</c:v>
                </c:pt>
                <c:pt idx="143">
                  <c:v>94.207850665492543</c:v>
                </c:pt>
                <c:pt idx="144">
                  <c:v>92.096503699283005</c:v>
                </c:pt>
                <c:pt idx="145">
                  <c:v>92.096503699283005</c:v>
                </c:pt>
              </c:numCache>
            </c:numRef>
          </c:yVal>
          <c:smooth val="1"/>
        </c:ser>
        <c:ser>
          <c:idx val="8"/>
          <c:order val="6"/>
          <c:tx>
            <c:strRef>
              <c:f>Ver130kHz!$K$60</c:f>
              <c:strCache>
                <c:ptCount val="1"/>
                <c:pt idx="0">
                  <c:v>Peak at 180VAC </c:v>
                </c:pt>
              </c:strCache>
            </c:strRef>
          </c:tx>
          <c:marker>
            <c:symbol val="none"/>
          </c:marker>
          <c:xVal>
            <c:numRef>
              <c:f>Ver130kHz!$N$62:$N$207</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4.6603301964424659</c:v>
                </c:pt>
                <c:pt idx="57">
                  <c:v>4.7293604546039614</c:v>
                </c:pt>
                <c:pt idx="58">
                  <c:v>4.8175556403073871</c:v>
                </c:pt>
                <c:pt idx="59">
                  <c:v>4.9494736116106264</c:v>
                </c:pt>
                <c:pt idx="60">
                  <c:v>5.0852815426611384</c:v>
                </c:pt>
                <c:pt idx="61">
                  <c:v>5.22513030828976</c:v>
                </c:pt>
                <c:pt idx="62">
                  <c:v>5.3691786879044212</c:v>
                </c:pt>
                <c:pt idx="63">
                  <c:v>5.517593890027495</c:v>
                </c:pt>
                <c:pt idx="64">
                  <c:v>5.6705521191640953</c:v>
                </c:pt>
                <c:pt idx="65">
                  <c:v>5.8282391890411747</c:v>
                </c:pt>
                <c:pt idx="66">
                  <c:v>5.9908511867040177</c:v>
                </c:pt>
                <c:pt idx="67">
                  <c:v>6.1585951924597548</c:v>
                </c:pt>
                <c:pt idx="68">
                  <c:v>6.3316900612249984</c:v>
                </c:pt>
                <c:pt idx="69">
                  <c:v>6.5103672714757099</c:v>
                </c:pt>
                <c:pt idx="70">
                  <c:v>6.6948718487228973</c:v>
                </c:pt>
                <c:pt idx="71">
                  <c:v>6.8854633712602418</c:v>
                </c:pt>
                <c:pt idx="72">
                  <c:v>7.0824170668636182</c:v>
                </c:pt>
                <c:pt idx="73">
                  <c:v>7.2860250101851713</c:v>
                </c:pt>
                <c:pt idx="74">
                  <c:v>7.4965974317958937</c:v>
                </c:pt>
                <c:pt idx="75">
                  <c:v>7.7144641512138383</c:v>
                </c:pt>
                <c:pt idx="76">
                  <c:v>7.9399761478382498</c:v>
                </c:pt>
                <c:pt idx="77">
                  <c:v>8.1735072855251421</c:v>
                </c:pt>
                <c:pt idx="78">
                  <c:v>8.4154562086255762</c:v>
                </c:pt>
                <c:pt idx="79">
                  <c:v>8.6662484297106204</c:v>
                </c:pt>
                <c:pt idx="80">
                  <c:v>8.9263386319793891</c:v>
                </c:pt>
                <c:pt idx="81">
                  <c:v>9.1962132125547473</c:v>
                </c:pt>
                <c:pt idx="82">
                  <c:v>9.47639309659173</c:v>
                </c:pt>
                <c:pt idx="83">
                  <c:v>9.7674368564488958</c:v>
                </c:pt>
                <c:pt idx="84">
                  <c:v>10.069944175214506</c:v>
                </c:pt>
                <c:pt idx="85">
                  <c:v>10.384559699771744</c:v>
                </c:pt>
                <c:pt idx="86">
                  <c:v>10.711977335492099</c:v>
                </c:pt>
                <c:pt idx="87">
                  <c:v>11.052945042761651</c:v>
                </c:pt>
                <c:pt idx="88">
                  <c:v>11.408270205111279</c:v>
                </c:pt>
                <c:pt idx="89">
                  <c:v>11.778825650032294</c:v>
                </c:pt>
                <c:pt idx="90">
                  <c:v>12.165556416975674</c:v>
                </c:pt>
                <c:pt idx="91">
                  <c:v>12.569487382999439</c:v>
                </c:pt>
                <c:pt idx="92">
                  <c:v>12.99173187559555</c:v>
                </c:pt>
                <c:pt idx="93">
                  <c:v>13.433501425079001</c:v>
                </c:pt>
                <c:pt idx="94">
                  <c:v>13.896116836410133</c:v>
                </c:pt>
                <c:pt idx="95">
                  <c:v>14.381020793516706</c:v>
                </c:pt>
                <c:pt idx="96">
                  <c:v>14.889792249433089</c:v>
                </c:pt>
                <c:pt idx="97">
                  <c:v>15.424162904585369</c:v>
                </c:pt>
                <c:pt idx="98">
                  <c:v>15.986036135495375</c:v>
                </c:pt>
                <c:pt idx="99">
                  <c:v>16.577508809831539</c:v>
                </c:pt>
                <c:pt idx="100">
                  <c:v>17.200896514676156</c:v>
                </c:pt>
                <c:pt idx="101">
                  <c:v>17.858762837733895</c:v>
                </c:pt>
                <c:pt idx="102">
                  <c:v>18.553953482007067</c:v>
                </c:pt>
                <c:pt idx="103">
                  <c:v>19.289636171111081</c:v>
                </c:pt>
                <c:pt idx="104">
                  <c:v>20.069347525339573</c:v>
                </c:pt>
                <c:pt idx="105">
                  <c:v>20.89704837168857</c:v>
                </c:pt>
                <c:pt idx="106">
                  <c:v>21.777189312916093</c:v>
                </c:pt>
                <c:pt idx="107">
                  <c:v>22.714788846470594</c:v>
                </c:pt>
                <c:pt idx="108">
                  <c:v>23.71552692800411</c:v>
                </c:pt>
                <c:pt idx="109">
                  <c:v>24.785857663257261</c:v>
                </c:pt>
                <c:pt idx="110">
                  <c:v>25.933145851689524</c:v>
                </c:pt>
                <c:pt idx="111">
                  <c:v>27.16583348693425</c:v>
                </c:pt>
                <c:pt idx="112">
                  <c:v>28.493644172826102</c:v>
                </c:pt>
                <c:pt idx="113">
                  <c:v>29.927835925575394</c:v>
                </c:pt>
                <c:pt idx="114">
                  <c:v>31.481516272958608</c:v>
                </c:pt>
                <c:pt idx="115">
                  <c:v>33.170038327822198</c:v>
                </c:pt>
                <c:pt idx="116">
                  <c:v>35.011503199154205</c:v>
                </c:pt>
                <c:pt idx="117">
                  <c:v>37.02740360862952</c:v>
                </c:pt>
                <c:pt idx="118">
                  <c:v>39.243457289104711</c:v>
                </c:pt>
                <c:pt idx="119">
                  <c:v>41.690698826829426</c:v>
                </c:pt>
                <c:pt idx="120">
                  <c:v>44.406928546544457</c:v>
                </c:pt>
                <c:pt idx="121">
                  <c:v>47.438662507256744</c:v>
                </c:pt>
                <c:pt idx="122">
                  <c:v>50.843798176615586</c:v>
                </c:pt>
                <c:pt idx="123">
                  <c:v>51.281814526680861</c:v>
                </c:pt>
                <c:pt idx="124">
                  <c:v>51.99165405830253</c:v>
                </c:pt>
                <c:pt idx="125">
                  <c:v>52.7030664990112</c:v>
                </c:pt>
                <c:pt idx="126">
                  <c:v>53.416024380350244</c:v>
                </c:pt>
                <c:pt idx="127">
                  <c:v>54.130500869754414</c:v>
                </c:pt>
                <c:pt idx="128">
                  <c:v>54.846469752254436</c:v>
                </c:pt>
                <c:pt idx="129">
                  <c:v>56.642754509924238</c:v>
                </c:pt>
                <c:pt idx="130">
                  <c:v>58.447823592752066</c:v>
                </c:pt>
                <c:pt idx="131">
                  <c:v>60.261313585863803</c:v>
                </c:pt>
                <c:pt idx="132">
                  <c:v>62.082880848070175</c:v>
                </c:pt>
                <c:pt idx="133">
                  <c:v>63.91220018503833</c:v>
                </c:pt>
                <c:pt idx="134">
                  <c:v>65.748963627885843</c:v>
                </c:pt>
                <c:pt idx="135">
                  <c:v>69.443670416303533</c:v>
                </c:pt>
                <c:pt idx="136">
                  <c:v>73.164841314269211</c:v>
                </c:pt>
                <c:pt idx="137">
                  <c:v>76.910528398733234</c:v>
                </c:pt>
                <c:pt idx="138">
                  <c:v>80.678970340816988</c:v>
                </c:pt>
                <c:pt idx="139">
                  <c:v>84.468570585723157</c:v>
                </c:pt>
                <c:pt idx="140">
                  <c:v>88.277878524607814</c:v>
                </c:pt>
                <c:pt idx="141">
                  <c:v>92.105573190475553</c:v>
                </c:pt>
                <c:pt idx="142">
                  <c:v>95.950449091970455</c:v>
                </c:pt>
                <c:pt idx="143">
                  <c:v>99.811403865001935</c:v>
                </c:pt>
                <c:pt idx="144">
                  <c:v>102.9110628737979</c:v>
                </c:pt>
                <c:pt idx="145">
                  <c:v>102.9110628737979</c:v>
                </c:pt>
              </c:numCache>
            </c:numRef>
          </c:xVal>
          <c:yVal>
            <c:numRef>
              <c:f>Ver130kHz!$M$62:$M$207</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c:v>
                </c:pt>
                <c:pt idx="57">
                  <c:v>22</c:v>
                </c:pt>
                <c:pt idx="58">
                  <c:v>22.085532855961478</c:v>
                </c:pt>
                <c:pt idx="59">
                  <c:v>22.363870170002745</c:v>
                </c:pt>
                <c:pt idx="60">
                  <c:v>22.649312630621786</c:v>
                </c:pt>
                <c:pt idx="61">
                  <c:v>22.942135815937053</c:v>
                </c:pt>
                <c:pt idx="62">
                  <c:v>23.242629742051577</c:v>
                </c:pt>
                <c:pt idx="63">
                  <c:v>23.551099821138678</c:v>
                </c:pt>
                <c:pt idx="64">
                  <c:v>23.867867896846569</c:v>
                </c:pt>
                <c:pt idx="65">
                  <c:v>24.193273364400898</c:v>
                </c:pt>
                <c:pt idx="66">
                  <c:v>24.527674383600029</c:v>
                </c:pt>
                <c:pt idx="67">
                  <c:v>24.871449193816897</c:v>
                </c:pt>
                <c:pt idx="68">
                  <c:v>25.224997541157588</c:v>
                </c:pt>
                <c:pt idx="69">
                  <c:v>25.588742229097747</c:v>
                </c:pt>
                <c:pt idx="70">
                  <c:v>25.963130805243047</c:v>
                </c:pt>
                <c:pt idx="71">
                  <c:v>26.348637398362126</c:v>
                </c:pt>
                <c:pt idx="72">
                  <c:v>26.745764721546333</c:v>
                </c:pt>
                <c:pt idx="73">
                  <c:v>27.155046259291666</c:v>
                </c:pt>
                <c:pt idx="74">
                  <c:v>27.577048658510424</c:v>
                </c:pt>
                <c:pt idx="75">
                  <c:v>28.012374346007061</c:v>
                </c:pt>
                <c:pt idx="76">
                  <c:v>28.461664397843911</c:v>
                </c:pt>
                <c:pt idx="77">
                  <c:v>28.925601689338372</c:v>
                </c:pt>
                <c:pt idx="78">
                  <c:v>29.404914358242689</c:v>
                </c:pt>
                <c:pt idx="79">
                  <c:v>29.900379618046088</c:v>
                </c:pt>
                <c:pt idx="80">
                  <c:v>30.412827963403025</c:v>
                </c:pt>
                <c:pt idx="81">
                  <c:v>30.943147815551129</c:v>
                </c:pt>
                <c:pt idx="82">
                  <c:v>31.492290662377933</c:v>
                </c:pt>
                <c:pt idx="83">
                  <c:v>32.061276755695708</c:v>
                </c:pt>
                <c:pt idx="84">
                  <c:v>32.651201437492347</c:v>
                </c:pt>
                <c:pt idx="85">
                  <c:v>33.263242177688753</c:v>
                </c:pt>
                <c:pt idx="86">
                  <c:v>33.898666418545439</c:v>
                </c:pt>
                <c:pt idx="87">
                  <c:v>34.558840335684494</c:v>
                </c:pt>
                <c:pt idx="88">
                  <c:v>35.245238643165699</c:v>
                </c:pt>
                <c:pt idx="89">
                  <c:v>35.959455590715478</c:v>
                </c:pt>
                <c:pt idx="90">
                  <c:v>36.703217325712536</c:v>
                </c:pt>
                <c:pt idx="91">
                  <c:v>37.478395821697596</c:v>
                </c:pt>
                <c:pt idx="92">
                  <c:v>38.287024610000898</c:v>
                </c:pt>
                <c:pt idx="93">
                  <c:v>39.13131659281958</c:v>
                </c:pt>
                <c:pt idx="94">
                  <c:v>40.013684266285601</c:v>
                </c:pt>
                <c:pt idx="95">
                  <c:v>40.936762742697844</c:v>
                </c:pt>
                <c:pt idx="96">
                  <c:v>41.903436034611062</c:v>
                </c:pt>
                <c:pt idx="97">
                  <c:v>42.916867152995955</c:v>
                </c:pt>
                <c:pt idx="98">
                  <c:v>43.980532681174395</c:v>
                </c:pt>
                <c:pt idx="99">
                  <c:v>45.098262620767592</c:v>
                </c:pt>
                <c:pt idx="100">
                  <c:v>46.274286472002345</c:v>
                </c:pt>
                <c:pt idx="101">
                  <c:v>47.513286716855333</c:v>
                </c:pt>
                <c:pt idx="102">
                  <c:v>48.820461130692351</c:v>
                </c:pt>
                <c:pt idx="103">
                  <c:v>50.201595670712834</c:v>
                </c:pt>
                <c:pt idx="104">
                  <c:v>51.663150096710936</c:v>
                </c:pt>
                <c:pt idx="105">
                  <c:v>53.212358996755519</c:v>
                </c:pt>
                <c:pt idx="106">
                  <c:v>54.857351551354753</c:v>
                </c:pt>
                <c:pt idx="107">
                  <c:v>56.607294220392077</c:v>
                </c:pt>
                <c:pt idx="108">
                  <c:v>58.472561640132355</c:v>
                </c:pt>
                <c:pt idx="109">
                  <c:v>60.464942458863682</c:v>
                </c:pt>
                <c:pt idx="110">
                  <c:v>62.597888738580387</c:v>
                </c:pt>
                <c:pt idx="111">
                  <c:v>64.886820073846522</c:v>
                </c:pt>
                <c:pt idx="112">
                  <c:v>67.349496964769543</c:v>
                </c:pt>
                <c:pt idx="113">
                  <c:v>70.006482568951654</c:v>
                </c:pt>
                <c:pt idx="114">
                  <c:v>72.88171824110465</c:v>
                </c:pt>
                <c:pt idx="115">
                  <c:v>76.003246975060463</c:v>
                </c:pt>
                <c:pt idx="116">
                  <c:v>79.404131075042287</c:v>
                </c:pt>
                <c:pt idx="117">
                  <c:v>83.123627743637471</c:v>
                </c:pt>
                <c:pt idx="118">
                  <c:v>87.208711313092522</c:v>
                </c:pt>
                <c:pt idx="119">
                  <c:v>91.716067533032231</c:v>
                </c:pt>
                <c:pt idx="120">
                  <c:v>96.714740009411429</c:v>
                </c:pt>
                <c:pt idx="121">
                  <c:v>102.28969193952193</c:v>
                </c:pt>
                <c:pt idx="122">
                  <c:v>108.54667505882031</c:v>
                </c:pt>
                <c:pt idx="123">
                  <c:v>108.4032779852792</c:v>
                </c:pt>
                <c:pt idx="124">
                  <c:v>107.76481216359161</c:v>
                </c:pt>
                <c:pt idx="125">
                  <c:v>107.13382308596974</c:v>
                </c:pt>
                <c:pt idx="126">
                  <c:v>106.51018018248969</c:v>
                </c:pt>
                <c:pt idx="127">
                  <c:v>105.89375590590458</c:v>
                </c:pt>
                <c:pt idx="128">
                  <c:v>105.28442564467973</c:v>
                </c:pt>
                <c:pt idx="129">
                  <c:v>103.79134405909961</c:v>
                </c:pt>
                <c:pt idx="130">
                  <c:v>102.34001832040195</c:v>
                </c:pt>
                <c:pt idx="131">
                  <c:v>100.92872095429978</c:v>
                </c:pt>
                <c:pt idx="132">
                  <c:v>99.555818479720472</c:v>
                </c:pt>
                <c:pt idx="133">
                  <c:v>98.219765101793385</c:v>
                </c:pt>
                <c:pt idx="134">
                  <c:v>96.919096905958824</c:v>
                </c:pt>
                <c:pt idx="135">
                  <c:v>94.418438114351403</c:v>
                </c:pt>
                <c:pt idx="136">
                  <c:v>92.043575133610076</c:v>
                </c:pt>
                <c:pt idx="137">
                  <c:v>89.785248609699693</c:v>
                </c:pt>
                <c:pt idx="138">
                  <c:v>87.635086154571709</c:v>
                </c:pt>
                <c:pt idx="139">
                  <c:v>85.585498625468276</c:v>
                </c:pt>
                <c:pt idx="140">
                  <c:v>83.629590626365101</c:v>
                </c:pt>
                <c:pt idx="141">
                  <c:v>81.761083007229828</c:v>
                </c:pt>
                <c:pt idx="142">
                  <c:v>79.974245525662809</c:v>
                </c:pt>
                <c:pt idx="143">
                  <c:v>78.263838149521575</c:v>
                </c:pt>
                <c:pt idx="144">
                  <c:v>76.947301986886018</c:v>
                </c:pt>
                <c:pt idx="145">
                  <c:v>76.947301986886018</c:v>
                </c:pt>
              </c:numCache>
            </c:numRef>
          </c:yVal>
          <c:smooth val="1"/>
        </c:ser>
        <c:ser>
          <c:idx val="3"/>
          <c:order val="7"/>
          <c:tx>
            <c:strRef>
              <c:f>Ver130kHz!$G$25</c:f>
              <c:strCache>
                <c:ptCount val="1"/>
                <c:pt idx="0">
                  <c:v>peak at 230VAC</c:v>
                </c:pt>
              </c:strCache>
            </c:strRef>
          </c:tx>
          <c:spPr>
            <a:ln>
              <a:solidFill>
                <a:srgbClr val="00CC00"/>
              </a:solidFill>
              <a:prstDash val="solid"/>
            </a:ln>
          </c:spPr>
          <c:marker>
            <c:symbol val="none"/>
          </c:marker>
          <c:xVal>
            <c:numRef>
              <c:f>Ver130kHz!$V$62:$V$207</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4.6603301964424659</c:v>
                </c:pt>
                <c:pt idx="57">
                  <c:v>4.7293604546039614</c:v>
                </c:pt>
                <c:pt idx="58">
                  <c:v>4.7988982098819495</c:v>
                </c:pt>
                <c:pt idx="59">
                  <c:v>4.9108229888559425</c:v>
                </c:pt>
                <c:pt idx="60">
                  <c:v>5.0450675434899441</c:v>
                </c:pt>
                <c:pt idx="61">
                  <c:v>5.1832804676229944</c:v>
                </c:pt>
                <c:pt idx="62">
                  <c:v>5.3256164281031939</c:v>
                </c:pt>
                <c:pt idx="63">
                  <c:v>5.4722382350755785</c:v>
                </c:pt>
                <c:pt idx="64">
                  <c:v>5.623317385067053</c:v>
                </c:pt>
                <c:pt idx="65">
                  <c:v>5.7790346481215167</c:v>
                </c:pt>
                <c:pt idx="66">
                  <c:v>5.9395807032108179</c:v>
                </c:pt>
                <c:pt idx="67">
                  <c:v>6.1051568266167697</c:v>
                </c:pt>
                <c:pt idx="68">
                  <c:v>6.2759756385087684</c:v>
                </c:pt>
                <c:pt idx="69">
                  <c:v>6.4522619135388455</c:v>
                </c:pt>
                <c:pt idx="70">
                  <c:v>6.6342534619512188</c:v>
                </c:pt>
                <c:pt idx="71">
                  <c:v>6.8222020884682104</c:v>
                </c:pt>
                <c:pt idx="72">
                  <c:v>7.0163746370816389</c:v>
                </c:pt>
                <c:pt idx="73">
                  <c:v>7.2170541308647014</c:v>
                </c:pt>
                <c:pt idx="74">
                  <c:v>7.4245410170416815</c:v>
                </c:pt>
                <c:pt idx="75">
                  <c:v>7.6391545288329024</c:v>
                </c:pt>
                <c:pt idx="76">
                  <c:v>7.8612341770556604</c:v>
                </c:pt>
                <c:pt idx="77">
                  <c:v>8.0911413861375188</c:v>
                </c:pt>
                <c:pt idx="78">
                  <c:v>8.3292612911211581</c:v>
                </c:pt>
                <c:pt idx="79">
                  <c:v>8.5760047144519529</c:v>
                </c:pt>
                <c:pt idx="80">
                  <c:v>8.8318103438881597</c:v>
                </c:pt>
                <c:pt idx="81">
                  <c:v>9.0971471358186431</c:v>
                </c:pt>
                <c:pt idx="82">
                  <c:v>9.3725169716831651</c:v>
                </c:pt>
                <c:pt idx="83">
                  <c:v>9.6584575991484716</c:v>
                </c:pt>
                <c:pt idx="84">
                  <c:v>9.9555458942998687</c:v>
                </c:pt>
                <c:pt idx="85">
                  <c:v>10.264401486482658</c:v>
                </c:pt>
                <c:pt idx="86">
                  <c:v>10.585690793715232</c:v>
                </c:pt>
                <c:pt idx="87">
                  <c:v>10.92013152397227</c:v>
                </c:pt>
                <c:pt idx="88">
                  <c:v>11.268497706315477</c:v>
                </c:pt>
                <c:pt idx="89">
                  <c:v>11.631625326090999</c:v>
                </c:pt>
                <c:pt idx="90">
                  <c:v>12.010418650537265</c:v>
                </c:pt>
                <c:pt idx="91">
                  <c:v>12.405857345545449</c:v>
                </c:pt>
                <c:pt idx="92">
                  <c:v>12.819004501472687</c:v>
                </c:pt>
                <c:pt idx="93">
                  <c:v>13.251015706424461</c:v>
                </c:pt>
                <c:pt idx="94">
                  <c:v>13.703149330045333</c:v>
                </c:pt>
                <c:pt idx="95">
                  <c:v>14.176778210518666</c:v>
                </c:pt>
                <c:pt idx="96">
                  <c:v>14.673402973350566</c:v>
                </c:pt>
                <c:pt idx="97">
                  <c:v>15.194667254079606</c:v>
                </c:pt>
                <c:pt idx="98">
                  <c:v>15.742375150190256</c:v>
                </c:pt>
                <c:pt idx="99">
                  <c:v>16.318511292608061</c:v>
                </c:pt>
                <c:pt idx="100">
                  <c:v>16.925264007288796</c:v>
                </c:pt>
                <c:pt idx="101">
                  <c:v>17.565052136539865</c:v>
                </c:pt>
                <c:pt idx="102">
                  <c:v>18.240556212969402</c:v>
                </c:pt>
                <c:pt idx="103">
                  <c:v>18.954754833051698</c:v>
                </c:pt>
                <c:pt idx="104">
                  <c:v>19.710967271047554</c:v>
                </c:pt>
                <c:pt idx="105">
                  <c:v>20.512903619094633</c:v>
                </c:pt>
                <c:pt idx="106">
                  <c:v>21.364724051255301</c:v>
                </c:pt>
                <c:pt idx="107">
                  <c:v>22.271109209098306</c:v>
                </c:pt>
                <c:pt idx="108">
                  <c:v>23.237344222350515</c:v>
                </c:pt>
                <c:pt idx="109">
                  <c:v>24.269419549044329</c:v>
                </c:pt>
                <c:pt idx="110">
                  <c:v>25.374152698879062</c:v>
                </c:pt>
                <c:pt idx="111">
                  <c:v>26.559336065715264</c:v>
                </c:pt>
                <c:pt idx="112">
                  <c:v>27.833917645113871</c:v>
                </c:pt>
                <c:pt idx="113">
                  <c:v>29.208223499928657</c:v>
                </c:pt>
                <c:pt idx="114">
                  <c:v>30.694233676235282</c:v>
                </c:pt>
                <c:pt idx="115">
                  <c:v>32.305927177101303</c:v>
                </c:pt>
                <c:pt idx="116">
                  <c:v>34.059717036873707</c:v>
                </c:pt>
                <c:pt idx="117">
                  <c:v>35.975004200089806</c:v>
                </c:pt>
                <c:pt idx="118">
                  <c:v>38.074889858299585</c:v>
                </c:pt>
                <c:pt idx="119">
                  <c:v>40.387101781173101</c:v>
                </c:pt>
                <c:pt idx="120">
                  <c:v>42.945213595774334</c:v>
                </c:pt>
                <c:pt idx="121">
                  <c:v>45.790271112012825</c:v>
                </c:pt>
                <c:pt idx="122">
                  <c:v>48.972993572158174</c:v>
                </c:pt>
                <c:pt idx="123">
                  <c:v>52.556801785277472</c:v>
                </c:pt>
                <c:pt idx="124">
                  <c:v>53.599978903939217</c:v>
                </c:pt>
                <c:pt idx="125">
                  <c:v>54.653407320408931</c:v>
                </c:pt>
                <c:pt idx="126">
                  <c:v>55.717087034686536</c:v>
                </c:pt>
                <c:pt idx="127">
                  <c:v>56.791018046772116</c:v>
                </c:pt>
                <c:pt idx="128">
                  <c:v>57.875200356665594</c:v>
                </c:pt>
                <c:pt idx="129">
                  <c:v>60.323570600855106</c:v>
                </c:pt>
                <c:pt idx="130">
                  <c:v>62.288424593394268</c:v>
                </c:pt>
                <c:pt idx="131">
                  <c:v>64.263732424014805</c:v>
                </c:pt>
                <c:pt idx="132">
                  <c:v>66.249087491582728</c:v>
                </c:pt>
                <c:pt idx="133">
                  <c:v>68.244104011368222</c:v>
                </c:pt>
                <c:pt idx="134">
                  <c:v>70.248415699731183</c:v>
                </c:pt>
                <c:pt idx="135">
                  <c:v>74.283549742106047</c:v>
                </c:pt>
                <c:pt idx="136">
                  <c:v>78.351905321083805</c:v>
                </c:pt>
                <c:pt idx="137">
                  <c:v>82.451140993037455</c:v>
                </c:pt>
                <c:pt idx="138">
                  <c:v>86.579130296022868</c:v>
                </c:pt>
                <c:pt idx="139">
                  <c:v>90.733937630010601</c:v>
                </c:pt>
                <c:pt idx="140">
                  <c:v>94.913797313177085</c:v>
                </c:pt>
                <c:pt idx="141">
                  <c:v>99.117095336812028</c:v>
                </c:pt>
                <c:pt idx="142">
                  <c:v>103.34235342169713</c:v>
                </c:pt>
                <c:pt idx="143">
                  <c:v>107.58821504423361</c:v>
                </c:pt>
                <c:pt idx="144">
                  <c:v>110.99889747642061</c:v>
                </c:pt>
                <c:pt idx="145">
                  <c:v>110.99889747642061</c:v>
                </c:pt>
              </c:numCache>
            </c:numRef>
          </c:xVal>
          <c:yVal>
            <c:numRef>
              <c:f>Ver130kHz!$U$62:$U$207</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c:v>
                </c:pt>
                <c:pt idx="57">
                  <c:v>22</c:v>
                </c:pt>
                <c:pt idx="58">
                  <c:v>22</c:v>
                </c:pt>
                <c:pt idx="59">
                  <c:v>22.189229879518557</c:v>
                </c:pt>
                <c:pt idx="60">
                  <c:v>22.4702036802687</c:v>
                </c:pt>
                <c:pt idx="61">
                  <c:v>22.758384469692349</c:v>
                </c:pt>
                <c:pt idx="62">
                  <c:v>23.054053139531728</c:v>
                </c:pt>
                <c:pt idx="63">
                  <c:v>23.357505370638009</c:v>
                </c:pt>
                <c:pt idx="64">
                  <c:v>23.669052619272314</c:v>
                </c:pt>
                <c:pt idx="65">
                  <c:v>23.989023183406701</c:v>
                </c:pt>
                <c:pt idx="66">
                  <c:v>24.317763356699224</c:v>
                </c:pt>
                <c:pt idx="67">
                  <c:v>24.65563867867025</c:v>
                </c:pt>
                <c:pt idx="68">
                  <c:v>25.00303529056821</c:v>
                </c:pt>
                <c:pt idx="69">
                  <c:v>25.360361407497972</c:v>
                </c:pt>
                <c:pt idx="70">
                  <c:v>25.728048918611247</c:v>
                </c:pt>
                <c:pt idx="71">
                  <c:v>26.106555128547161</c:v>
                </c:pt>
                <c:pt idx="72">
                  <c:v>26.496364654886566</c:v>
                </c:pt>
                <c:pt idx="73">
                  <c:v>26.897991498173877</c:v>
                </c:pt>
                <c:pt idx="74">
                  <c:v>27.311981303098399</c:v>
                </c:pt>
                <c:pt idx="75">
                  <c:v>27.738913831752257</c:v>
                </c:pt>
                <c:pt idx="76">
                  <c:v>28.179405672539168</c:v>
                </c:pt>
                <c:pt idx="77">
                  <c:v>28.634113211351725</c:v>
                </c:pt>
                <c:pt idx="78">
                  <c:v>29.103735895126768</c:v>
                </c:pt>
                <c:pt idx="79">
                  <c:v>29.589019821905662</c:v>
                </c:pt>
                <c:pt idx="80">
                  <c:v>30.090761696154988</c:v>
                </c:pt>
                <c:pt idx="81">
                  <c:v>30.609813193451771</c:v>
                </c:pt>
                <c:pt idx="82">
                  <c:v>31.147085784830313</c:v>
                </c:pt>
                <c:pt idx="83">
                  <c:v>31.70355607827641</c:v>
                </c:pt>
                <c:pt idx="84">
                  <c:v>32.280271743220524</c:v>
                </c:pt>
                <c:pt idx="85">
                  <c:v>32.878358093642213</c:v>
                </c:pt>
                <c:pt idx="86">
                  <c:v>33.499025416817254</c:v>
                </c:pt>
                <c:pt idx="87">
                  <c:v>34.143577148135357</c:v>
                </c:pt>
                <c:pt idx="88">
                  <c:v>34.813419008178222</c:v>
                </c:pt>
                <c:pt idx="89">
                  <c:v>35.510069236848246</c:v>
                </c:pt>
                <c:pt idx="90">
                  <c:v>36.235170081357218</c:v>
                </c:pt>
                <c:pt idx="91">
                  <c:v>36.990500721033882</c:v>
                </c:pt>
                <c:pt idx="92">
                  <c:v>37.777991843069685</c:v>
                </c:pt>
                <c:pt idx="93">
                  <c:v>38.599742120582007</c:v>
                </c:pt>
                <c:pt idx="94">
                  <c:v>39.458036889091538</c:v>
                </c:pt>
                <c:pt idx="95">
                  <c:v>40.355369371379176</c:v>
                </c:pt>
                <c:pt idx="96">
                  <c:v>41.294464865839714</c:v>
                </c:pt>
                <c:pt idx="97">
                  <c:v>42.278308392570892</c:v>
                </c:pt>
                <c:pt idx="98">
                  <c:v>43.310176387937673</c:v>
                </c:pt>
                <c:pt idx="99">
                  <c:v>44.393673156580789</c:v>
                </c:pt>
                <c:pt idx="100">
                  <c:v>45.532772935370318</c:v>
                </c:pt>
                <c:pt idx="101">
                  <c:v>46.731868603829348</c:v>
                </c:pt>
                <c:pt idx="102">
                  <c:v>47.995828299400848</c:v>
                </c:pt>
                <c:pt idx="103">
                  <c:v>49.330061475780631</c:v>
                </c:pt>
                <c:pt idx="104">
                  <c:v>50.740596294410743</c:v>
                </c:pt>
                <c:pt idx="105">
                  <c:v>52.234170684312204</c:v>
                </c:pt>
                <c:pt idx="106">
                  <c:v>53.818339972012524</c:v>
                </c:pt>
                <c:pt idx="107">
                  <c:v>55.501604709382931</c:v>
                </c:pt>
                <c:pt idx="108">
                  <c:v>57.293563264238863</c:v>
                </c:pt>
                <c:pt idx="109">
                  <c:v>59.205094956965887</c:v>
                </c:pt>
                <c:pt idx="110">
                  <c:v>61.248581123323298</c:v>
                </c:pt>
                <c:pt idx="111">
                  <c:v>63.438173594259723</c:v>
                </c:pt>
                <c:pt idx="112">
                  <c:v>65.790122898531038</c:v>
                </c:pt>
                <c:pt idx="113">
                  <c:v>68.323182284303002</c:v>
                </c:pt>
                <c:pt idx="114">
                  <c:v>71.059108812352306</c:v>
                </c:pt>
                <c:pt idx="115">
                  <c:v>74.023289865784008</c:v>
                </c:pt>
                <c:pt idx="116">
                  <c:v>77.245533292043987</c:v>
                </c:pt>
                <c:pt idx="117">
                  <c:v>80.761073306990667</c:v>
                </c:pt>
                <c:pt idx="118">
                  <c:v>84.611864175690584</c:v>
                </c:pt>
                <c:pt idx="119">
                  <c:v>88.848262530005158</c:v>
                </c:pt>
                <c:pt idx="120">
                  <c:v>93.531241711765645</c:v>
                </c:pt>
                <c:pt idx="121">
                  <c:v>98.735345355878977</c:v>
                </c:pt>
                <c:pt idx="122">
                  <c:v>104.55268509777957</c:v>
                </c:pt>
                <c:pt idx="123">
                  <c:v>111.09843999342985</c:v>
                </c:pt>
                <c:pt idx="124">
                  <c:v>111.09843999342976</c:v>
                </c:pt>
                <c:pt idx="125">
                  <c:v>111.09843999342976</c:v>
                </c:pt>
                <c:pt idx="126">
                  <c:v>111.09843999342976</c:v>
                </c:pt>
                <c:pt idx="127">
                  <c:v>111.09843999342976</c:v>
                </c:pt>
                <c:pt idx="128">
                  <c:v>111.09843999342976</c:v>
                </c:pt>
                <c:pt idx="129">
                  <c:v>110.53601692357235</c:v>
                </c:pt>
                <c:pt idx="130">
                  <c:v>109.06477131558137</c:v>
                </c:pt>
                <c:pt idx="131">
                  <c:v>107.63217612346716</c:v>
                </c:pt>
                <c:pt idx="132">
                  <c:v>106.2367280426251</c:v>
                </c:pt>
                <c:pt idx="133">
                  <c:v>104.87700073182707</c:v>
                </c:pt>
                <c:pt idx="134">
                  <c:v>103.55163995018016</c:v>
                </c:pt>
                <c:pt idx="135">
                  <c:v>100.99893485170311</c:v>
                </c:pt>
                <c:pt idx="136">
                  <c:v>98.56905796194458</c:v>
                </c:pt>
                <c:pt idx="137">
                  <c:v>96.253352386735116</c:v>
                </c:pt>
                <c:pt idx="138">
                  <c:v>94.043956072171923</c:v>
                </c:pt>
                <c:pt idx="139">
                  <c:v>91.933712627890969</c:v>
                </c:pt>
                <c:pt idx="140">
                  <c:v>89.916093893014789</c:v>
                </c:pt>
                <c:pt idx="141">
                  <c:v>87.985132479546962</c:v>
                </c:pt>
                <c:pt idx="142">
                  <c:v>86.135362824875557</c:v>
                </c:pt>
                <c:pt idx="143">
                  <c:v>84.361769526921961</c:v>
                </c:pt>
                <c:pt idx="144">
                  <c:v>82.994630954338049</c:v>
                </c:pt>
                <c:pt idx="145">
                  <c:v>82.994630954338049</c:v>
                </c:pt>
              </c:numCache>
            </c:numRef>
          </c:yVal>
          <c:smooth val="1"/>
        </c:ser>
        <c:ser>
          <c:idx val="9"/>
          <c:order val="8"/>
          <c:tx>
            <c:strRef>
              <c:f>Ver130kHz!$S$60</c:f>
              <c:strCache>
                <c:ptCount val="1"/>
                <c:pt idx="0">
                  <c:v>Peak at 264VAC </c:v>
                </c:pt>
              </c:strCache>
            </c:strRef>
          </c:tx>
          <c:marker>
            <c:symbol val="none"/>
          </c:marker>
          <c:xVal>
            <c:numRef>
              <c:f>Ver130kHz!$V$62:$V$207</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4.6603301964424659</c:v>
                </c:pt>
                <c:pt idx="57">
                  <c:v>4.7293604546039614</c:v>
                </c:pt>
                <c:pt idx="58">
                  <c:v>4.7988982098819495</c:v>
                </c:pt>
                <c:pt idx="59">
                  <c:v>4.9108229888559425</c:v>
                </c:pt>
                <c:pt idx="60">
                  <c:v>5.0450675434899441</c:v>
                </c:pt>
                <c:pt idx="61">
                  <c:v>5.1832804676229944</c:v>
                </c:pt>
                <c:pt idx="62">
                  <c:v>5.3256164281031939</c:v>
                </c:pt>
                <c:pt idx="63">
                  <c:v>5.4722382350755785</c:v>
                </c:pt>
                <c:pt idx="64">
                  <c:v>5.623317385067053</c:v>
                </c:pt>
                <c:pt idx="65">
                  <c:v>5.7790346481215167</c:v>
                </c:pt>
                <c:pt idx="66">
                  <c:v>5.9395807032108179</c:v>
                </c:pt>
                <c:pt idx="67">
                  <c:v>6.1051568266167697</c:v>
                </c:pt>
                <c:pt idx="68">
                  <c:v>6.2759756385087684</c:v>
                </c:pt>
                <c:pt idx="69">
                  <c:v>6.4522619135388455</c:v>
                </c:pt>
                <c:pt idx="70">
                  <c:v>6.6342534619512188</c:v>
                </c:pt>
                <c:pt idx="71">
                  <c:v>6.8222020884682104</c:v>
                </c:pt>
                <c:pt idx="72">
                  <c:v>7.0163746370816389</c:v>
                </c:pt>
                <c:pt idx="73">
                  <c:v>7.2170541308647014</c:v>
                </c:pt>
                <c:pt idx="74">
                  <c:v>7.4245410170416815</c:v>
                </c:pt>
                <c:pt idx="75">
                  <c:v>7.6391545288329024</c:v>
                </c:pt>
                <c:pt idx="76">
                  <c:v>7.8612341770556604</c:v>
                </c:pt>
                <c:pt idx="77">
                  <c:v>8.0911413861375188</c:v>
                </c:pt>
                <c:pt idx="78">
                  <c:v>8.3292612911211581</c:v>
                </c:pt>
                <c:pt idx="79">
                  <c:v>8.5760047144519529</c:v>
                </c:pt>
                <c:pt idx="80">
                  <c:v>8.8318103438881597</c:v>
                </c:pt>
                <c:pt idx="81">
                  <c:v>9.0971471358186431</c:v>
                </c:pt>
                <c:pt idx="82">
                  <c:v>9.3725169716831651</c:v>
                </c:pt>
                <c:pt idx="83">
                  <c:v>9.6584575991484716</c:v>
                </c:pt>
                <c:pt idx="84">
                  <c:v>9.9555458942998687</c:v>
                </c:pt>
                <c:pt idx="85">
                  <c:v>10.264401486482658</c:v>
                </c:pt>
                <c:pt idx="86">
                  <c:v>10.585690793715232</c:v>
                </c:pt>
                <c:pt idx="87">
                  <c:v>10.92013152397227</c:v>
                </c:pt>
                <c:pt idx="88">
                  <c:v>11.268497706315477</c:v>
                </c:pt>
                <c:pt idx="89">
                  <c:v>11.631625326090999</c:v>
                </c:pt>
                <c:pt idx="90">
                  <c:v>12.010418650537265</c:v>
                </c:pt>
                <c:pt idx="91">
                  <c:v>12.405857345545449</c:v>
                </c:pt>
                <c:pt idx="92">
                  <c:v>12.819004501472687</c:v>
                </c:pt>
                <c:pt idx="93">
                  <c:v>13.251015706424461</c:v>
                </c:pt>
                <c:pt idx="94">
                  <c:v>13.703149330045333</c:v>
                </c:pt>
                <c:pt idx="95">
                  <c:v>14.176778210518666</c:v>
                </c:pt>
                <c:pt idx="96">
                  <c:v>14.673402973350566</c:v>
                </c:pt>
                <c:pt idx="97">
                  <c:v>15.194667254079606</c:v>
                </c:pt>
                <c:pt idx="98">
                  <c:v>15.742375150190256</c:v>
                </c:pt>
                <c:pt idx="99">
                  <c:v>16.318511292608061</c:v>
                </c:pt>
                <c:pt idx="100">
                  <c:v>16.925264007288796</c:v>
                </c:pt>
                <c:pt idx="101">
                  <c:v>17.565052136539865</c:v>
                </c:pt>
                <c:pt idx="102">
                  <c:v>18.240556212969402</c:v>
                </c:pt>
                <c:pt idx="103">
                  <c:v>18.954754833051698</c:v>
                </c:pt>
                <c:pt idx="104">
                  <c:v>19.710967271047554</c:v>
                </c:pt>
                <c:pt idx="105">
                  <c:v>20.512903619094633</c:v>
                </c:pt>
                <c:pt idx="106">
                  <c:v>21.364724051255301</c:v>
                </c:pt>
                <c:pt idx="107">
                  <c:v>22.271109209098306</c:v>
                </c:pt>
                <c:pt idx="108">
                  <c:v>23.237344222350515</c:v>
                </c:pt>
                <c:pt idx="109">
                  <c:v>24.269419549044329</c:v>
                </c:pt>
                <c:pt idx="110">
                  <c:v>25.374152698879062</c:v>
                </c:pt>
                <c:pt idx="111">
                  <c:v>26.559336065715264</c:v>
                </c:pt>
                <c:pt idx="112">
                  <c:v>27.833917645113871</c:v>
                </c:pt>
                <c:pt idx="113">
                  <c:v>29.208223499928657</c:v>
                </c:pt>
                <c:pt idx="114">
                  <c:v>30.694233676235282</c:v>
                </c:pt>
                <c:pt idx="115">
                  <c:v>32.305927177101303</c:v>
                </c:pt>
                <c:pt idx="116">
                  <c:v>34.059717036873707</c:v>
                </c:pt>
                <c:pt idx="117">
                  <c:v>35.975004200089806</c:v>
                </c:pt>
                <c:pt idx="118">
                  <c:v>38.074889858299585</c:v>
                </c:pt>
                <c:pt idx="119">
                  <c:v>40.387101781173101</c:v>
                </c:pt>
                <c:pt idx="120">
                  <c:v>42.945213595774334</c:v>
                </c:pt>
                <c:pt idx="121">
                  <c:v>45.790271112012825</c:v>
                </c:pt>
                <c:pt idx="122">
                  <c:v>48.972993572158174</c:v>
                </c:pt>
                <c:pt idx="123">
                  <c:v>52.556801785277472</c:v>
                </c:pt>
                <c:pt idx="124">
                  <c:v>53.599978903939217</c:v>
                </c:pt>
                <c:pt idx="125">
                  <c:v>54.653407320408931</c:v>
                </c:pt>
                <c:pt idx="126">
                  <c:v>55.717087034686536</c:v>
                </c:pt>
                <c:pt idx="127">
                  <c:v>56.791018046772116</c:v>
                </c:pt>
                <c:pt idx="128">
                  <c:v>57.875200356665594</c:v>
                </c:pt>
                <c:pt idx="129">
                  <c:v>60.323570600855106</c:v>
                </c:pt>
                <c:pt idx="130">
                  <c:v>62.288424593394268</c:v>
                </c:pt>
                <c:pt idx="131">
                  <c:v>64.263732424014805</c:v>
                </c:pt>
                <c:pt idx="132">
                  <c:v>66.249087491582728</c:v>
                </c:pt>
                <c:pt idx="133">
                  <c:v>68.244104011368222</c:v>
                </c:pt>
                <c:pt idx="134">
                  <c:v>70.248415699731183</c:v>
                </c:pt>
                <c:pt idx="135">
                  <c:v>74.283549742106047</c:v>
                </c:pt>
                <c:pt idx="136">
                  <c:v>78.351905321083805</c:v>
                </c:pt>
                <c:pt idx="137">
                  <c:v>82.451140993037455</c:v>
                </c:pt>
                <c:pt idx="138">
                  <c:v>86.579130296022868</c:v>
                </c:pt>
                <c:pt idx="139">
                  <c:v>90.733937630010601</c:v>
                </c:pt>
                <c:pt idx="140">
                  <c:v>94.913797313177085</c:v>
                </c:pt>
                <c:pt idx="141">
                  <c:v>99.117095336812028</c:v>
                </c:pt>
                <c:pt idx="142">
                  <c:v>103.34235342169713</c:v>
                </c:pt>
                <c:pt idx="143">
                  <c:v>107.58821504423361</c:v>
                </c:pt>
                <c:pt idx="144">
                  <c:v>110.99889747642061</c:v>
                </c:pt>
                <c:pt idx="145">
                  <c:v>110.99889747642061</c:v>
                </c:pt>
              </c:numCache>
            </c:numRef>
          </c:xVal>
          <c:yVal>
            <c:numRef>
              <c:f>Ver130kHz!$U$62:$U$207</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c:v>
                </c:pt>
                <c:pt idx="57">
                  <c:v>22</c:v>
                </c:pt>
                <c:pt idx="58">
                  <c:v>22</c:v>
                </c:pt>
                <c:pt idx="59">
                  <c:v>22.189229879518557</c:v>
                </c:pt>
                <c:pt idx="60">
                  <c:v>22.4702036802687</c:v>
                </c:pt>
                <c:pt idx="61">
                  <c:v>22.758384469692349</c:v>
                </c:pt>
                <c:pt idx="62">
                  <c:v>23.054053139531728</c:v>
                </c:pt>
                <c:pt idx="63">
                  <c:v>23.357505370638009</c:v>
                </c:pt>
                <c:pt idx="64">
                  <c:v>23.669052619272314</c:v>
                </c:pt>
                <c:pt idx="65">
                  <c:v>23.989023183406701</c:v>
                </c:pt>
                <c:pt idx="66">
                  <c:v>24.317763356699224</c:v>
                </c:pt>
                <c:pt idx="67">
                  <c:v>24.65563867867025</c:v>
                </c:pt>
                <c:pt idx="68">
                  <c:v>25.00303529056821</c:v>
                </c:pt>
                <c:pt idx="69">
                  <c:v>25.360361407497972</c:v>
                </c:pt>
                <c:pt idx="70">
                  <c:v>25.728048918611247</c:v>
                </c:pt>
                <c:pt idx="71">
                  <c:v>26.106555128547161</c:v>
                </c:pt>
                <c:pt idx="72">
                  <c:v>26.496364654886566</c:v>
                </c:pt>
                <c:pt idx="73">
                  <c:v>26.897991498173877</c:v>
                </c:pt>
                <c:pt idx="74">
                  <c:v>27.311981303098399</c:v>
                </c:pt>
                <c:pt idx="75">
                  <c:v>27.738913831752257</c:v>
                </c:pt>
                <c:pt idx="76">
                  <c:v>28.179405672539168</c:v>
                </c:pt>
                <c:pt idx="77">
                  <c:v>28.634113211351725</c:v>
                </c:pt>
                <c:pt idx="78">
                  <c:v>29.103735895126768</c:v>
                </c:pt>
                <c:pt idx="79">
                  <c:v>29.589019821905662</c:v>
                </c:pt>
                <c:pt idx="80">
                  <c:v>30.090761696154988</c:v>
                </c:pt>
                <c:pt idx="81">
                  <c:v>30.609813193451771</c:v>
                </c:pt>
                <c:pt idx="82">
                  <c:v>31.147085784830313</c:v>
                </c:pt>
                <c:pt idx="83">
                  <c:v>31.70355607827641</c:v>
                </c:pt>
                <c:pt idx="84">
                  <c:v>32.280271743220524</c:v>
                </c:pt>
                <c:pt idx="85">
                  <c:v>32.878358093642213</c:v>
                </c:pt>
                <c:pt idx="86">
                  <c:v>33.499025416817254</c:v>
                </c:pt>
                <c:pt idx="87">
                  <c:v>34.143577148135357</c:v>
                </c:pt>
                <c:pt idx="88">
                  <c:v>34.813419008178222</c:v>
                </c:pt>
                <c:pt idx="89">
                  <c:v>35.510069236848246</c:v>
                </c:pt>
                <c:pt idx="90">
                  <c:v>36.235170081357218</c:v>
                </c:pt>
                <c:pt idx="91">
                  <c:v>36.990500721033882</c:v>
                </c:pt>
                <c:pt idx="92">
                  <c:v>37.777991843069685</c:v>
                </c:pt>
                <c:pt idx="93">
                  <c:v>38.599742120582007</c:v>
                </c:pt>
                <c:pt idx="94">
                  <c:v>39.458036889091538</c:v>
                </c:pt>
                <c:pt idx="95">
                  <c:v>40.355369371379176</c:v>
                </c:pt>
                <c:pt idx="96">
                  <c:v>41.294464865839714</c:v>
                </c:pt>
                <c:pt idx="97">
                  <c:v>42.278308392570892</c:v>
                </c:pt>
                <c:pt idx="98">
                  <c:v>43.310176387937673</c:v>
                </c:pt>
                <c:pt idx="99">
                  <c:v>44.393673156580789</c:v>
                </c:pt>
                <c:pt idx="100">
                  <c:v>45.532772935370318</c:v>
                </c:pt>
                <c:pt idx="101">
                  <c:v>46.731868603829348</c:v>
                </c:pt>
                <c:pt idx="102">
                  <c:v>47.995828299400848</c:v>
                </c:pt>
                <c:pt idx="103">
                  <c:v>49.330061475780631</c:v>
                </c:pt>
                <c:pt idx="104">
                  <c:v>50.740596294410743</c:v>
                </c:pt>
                <c:pt idx="105">
                  <c:v>52.234170684312204</c:v>
                </c:pt>
                <c:pt idx="106">
                  <c:v>53.818339972012524</c:v>
                </c:pt>
                <c:pt idx="107">
                  <c:v>55.501604709382931</c:v>
                </c:pt>
                <c:pt idx="108">
                  <c:v>57.293563264238863</c:v>
                </c:pt>
                <c:pt idx="109">
                  <c:v>59.205094956965887</c:v>
                </c:pt>
                <c:pt idx="110">
                  <c:v>61.248581123323298</c:v>
                </c:pt>
                <c:pt idx="111">
                  <c:v>63.438173594259723</c:v>
                </c:pt>
                <c:pt idx="112">
                  <c:v>65.790122898531038</c:v>
                </c:pt>
                <c:pt idx="113">
                  <c:v>68.323182284303002</c:v>
                </c:pt>
                <c:pt idx="114">
                  <c:v>71.059108812352306</c:v>
                </c:pt>
                <c:pt idx="115">
                  <c:v>74.023289865784008</c:v>
                </c:pt>
                <c:pt idx="116">
                  <c:v>77.245533292043987</c:v>
                </c:pt>
                <c:pt idx="117">
                  <c:v>80.761073306990667</c:v>
                </c:pt>
                <c:pt idx="118">
                  <c:v>84.611864175690584</c:v>
                </c:pt>
                <c:pt idx="119">
                  <c:v>88.848262530005158</c:v>
                </c:pt>
                <c:pt idx="120">
                  <c:v>93.531241711765645</c:v>
                </c:pt>
                <c:pt idx="121">
                  <c:v>98.735345355878977</c:v>
                </c:pt>
                <c:pt idx="122">
                  <c:v>104.55268509777957</c:v>
                </c:pt>
                <c:pt idx="123">
                  <c:v>111.09843999342985</c:v>
                </c:pt>
                <c:pt idx="124">
                  <c:v>111.09843999342976</c:v>
                </c:pt>
                <c:pt idx="125">
                  <c:v>111.09843999342976</c:v>
                </c:pt>
                <c:pt idx="126">
                  <c:v>111.09843999342976</c:v>
                </c:pt>
                <c:pt idx="127">
                  <c:v>111.09843999342976</c:v>
                </c:pt>
                <c:pt idx="128">
                  <c:v>111.09843999342976</c:v>
                </c:pt>
                <c:pt idx="129">
                  <c:v>110.53601692357235</c:v>
                </c:pt>
                <c:pt idx="130">
                  <c:v>109.06477131558137</c:v>
                </c:pt>
                <c:pt idx="131">
                  <c:v>107.63217612346716</c:v>
                </c:pt>
                <c:pt idx="132">
                  <c:v>106.2367280426251</c:v>
                </c:pt>
                <c:pt idx="133">
                  <c:v>104.87700073182707</c:v>
                </c:pt>
                <c:pt idx="134">
                  <c:v>103.55163995018016</c:v>
                </c:pt>
                <c:pt idx="135">
                  <c:v>100.99893485170311</c:v>
                </c:pt>
                <c:pt idx="136">
                  <c:v>98.56905796194458</c:v>
                </c:pt>
                <c:pt idx="137">
                  <c:v>96.253352386735116</c:v>
                </c:pt>
                <c:pt idx="138">
                  <c:v>94.043956072171923</c:v>
                </c:pt>
                <c:pt idx="139">
                  <c:v>91.933712627890969</c:v>
                </c:pt>
                <c:pt idx="140">
                  <c:v>89.916093893014789</c:v>
                </c:pt>
                <c:pt idx="141">
                  <c:v>87.985132479546962</c:v>
                </c:pt>
                <c:pt idx="142">
                  <c:v>86.135362824875557</c:v>
                </c:pt>
                <c:pt idx="143">
                  <c:v>84.361769526921961</c:v>
                </c:pt>
                <c:pt idx="144">
                  <c:v>82.994630954338049</c:v>
                </c:pt>
                <c:pt idx="145">
                  <c:v>82.994630954338049</c:v>
                </c:pt>
              </c:numCache>
            </c:numRef>
          </c:yVal>
          <c:smooth val="1"/>
        </c:ser>
        <c:ser>
          <c:idx val="4"/>
          <c:order val="9"/>
          <c:tx>
            <c:strRef>
              <c:f>Ver130kHz!$W$60</c:f>
              <c:strCache>
                <c:ptCount val="1"/>
                <c:pt idx="0">
                  <c:v>Peak at 275VAC </c:v>
                </c:pt>
              </c:strCache>
            </c:strRef>
          </c:tx>
          <c:spPr>
            <a:ln>
              <a:solidFill>
                <a:srgbClr val="0099CC"/>
              </a:solidFill>
            </a:ln>
          </c:spPr>
          <c:marker>
            <c:symbol val="none"/>
          </c:marker>
          <c:xVal>
            <c:numRef>
              <c:f>Ver130kHz!$Z$62:$Z$207</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4.6603301964424659</c:v>
                </c:pt>
                <c:pt idx="57">
                  <c:v>4.7293604546039614</c:v>
                </c:pt>
                <c:pt idx="58">
                  <c:v>4.7988982098819495</c:v>
                </c:pt>
                <c:pt idx="59">
                  <c:v>4.9015273382129774</c:v>
                </c:pt>
                <c:pt idx="60">
                  <c:v>5.0353970893832773</c:v>
                </c:pt>
                <c:pt idx="61">
                  <c:v>5.1732179110027614</c:v>
                </c:pt>
                <c:pt idx="62">
                  <c:v>5.3151434928609138</c:v>
                </c:pt>
                <c:pt idx="63">
                  <c:v>5.4613356004796376</c:v>
                </c:pt>
                <c:pt idx="64">
                  <c:v>5.6119646126049068</c:v>
                </c:pt>
                <c:pt idx="65">
                  <c:v>5.7672101022057394</c:v>
                </c:pt>
                <c:pt idx="66">
                  <c:v>5.9272614651453956</c:v>
                </c:pt>
                <c:pt idx="67">
                  <c:v>6.0923186011515522</c:v>
                </c:pt>
                <c:pt idx="68">
                  <c:v>6.2625926522327342</c:v>
                </c:pt>
                <c:pt idx="69">
                  <c:v>6.4383068042754337</c:v>
                </c:pt>
                <c:pt idx="70">
                  <c:v>6.6196971582199771</c:v>
                </c:pt>
                <c:pt idx="71">
                  <c:v>6.8070136779647106</c:v>
                </c:pt>
                <c:pt idx="72">
                  <c:v>7.0005212229999332</c:v>
                </c:pt>
                <c:pt idx="73">
                  <c:v>7.2005006747412414</c:v>
                </c:pt>
                <c:pt idx="74">
                  <c:v>7.4072501666337471</c:v>
                </c:pt>
                <c:pt idx="75">
                  <c:v>7.621086429355068</c:v>
                </c:pt>
                <c:pt idx="76">
                  <c:v>7.8423462638806951</c:v>
                </c:pt>
                <c:pt idx="77">
                  <c:v>8.0713881568189958</c:v>
                </c:pt>
                <c:pt idx="78">
                  <c:v>8.3085940543085108</c:v>
                </c:pt>
                <c:pt idx="79">
                  <c:v>8.5543713129384678</c:v>
                </c:pt>
                <c:pt idx="80">
                  <c:v>8.8091548486509925</c:v>
                </c:pt>
                <c:pt idx="81">
                  <c:v>9.073409507468277</c:v>
                </c:pt>
                <c:pt idx="82">
                  <c:v>9.3476326852271558</c:v>
                </c:pt>
                <c:pt idx="83">
                  <c:v>9.6323572273781277</c:v>
                </c:pt>
                <c:pt idx="84">
                  <c:v>9.9281546444128921</c:v>
                </c:pt>
                <c:pt idx="85">
                  <c:v>10.235638683741493</c:v>
                </c:pt>
                <c:pt idx="86">
                  <c:v>10.555469304987025</c:v>
                </c:pt>
                <c:pt idx="87">
                  <c:v>10.88835711287469</c:v>
                </c:pt>
                <c:pt idx="88">
                  <c:v>11.235068310369726</c:v>
                </c:pt>
                <c:pt idx="89">
                  <c:v>11.596430244718295</c:v>
                </c:pt>
                <c:pt idx="90">
                  <c:v>11.973337630877669</c:v>
                </c:pt>
                <c:pt idx="91">
                  <c:v>12.36675955086654</c:v>
                </c:pt>
                <c:pt idx="92">
                  <c:v>12.777747344293219</c:v>
                </c:pt>
                <c:pt idx="93">
                  <c:v>13.207443525310479</c:v>
                </c:pt>
                <c:pt idx="94">
                  <c:v>13.657091885223785</c:v>
                </c:pt>
                <c:pt idx="95">
                  <c:v>14.128048968848223</c:v>
                </c:pt>
                <c:pt idx="96">
                  <c:v>14.621797147603383</c:v>
                </c:pt>
                <c:pt idx="97">
                  <c:v>15.139959554684125</c:v>
                </c:pt>
                <c:pt idx="98">
                  <c:v>15.68431719926205</c:v>
                </c:pt>
                <c:pt idx="99">
                  <c:v>16.256828639866921</c:v>
                </c:pt>
                <c:pt idx="100">
                  <c:v>16.859652674829526</c:v>
                </c:pt>
                <c:pt idx="101">
                  <c:v>17.495174603748538</c:v>
                </c:pt>
                <c:pt idx="102">
                  <c:v>18.166036733319586</c:v>
                </c:pt>
                <c:pt idx="103">
                  <c:v>18.875173949979985</c:v>
                </c:pt>
                <c:pt idx="104">
                  <c:v>19.62585536914753</c:v>
                </c:pt>
                <c:pt idx="105">
                  <c:v>20.421733307561055</c:v>
                </c:pt>
                <c:pt idx="106">
                  <c:v>21.266901126280725</c:v>
                </c:pt>
                <c:pt idx="107">
                  <c:v>22.165961877298997</c:v>
                </c:pt>
                <c:pt idx="108">
                  <c:v>23.124110183547593</c:v>
                </c:pt>
                <c:pt idx="109">
                  <c:v>24.14723042735617</c:v>
                </c:pt>
                <c:pt idx="110">
                  <c:v>25.242015167089761</c:v>
                </c:pt>
                <c:pt idx="111">
                  <c:v>26.416108816666711</c:v>
                </c:pt>
                <c:pt idx="112">
                  <c:v>27.678283107587614</c:v>
                </c:pt>
                <c:pt idx="113">
                  <c:v>29.038652849604556</c:v>
                </c:pt>
                <c:pt idx="114">
                  <c:v>30.508943217842987</c:v>
                </c:pt>
                <c:pt idx="115">
                  <c:v>32.102823517515446</c:v>
                </c:pt>
                <c:pt idx="116">
                  <c:v>33.836327549816524</c:v>
                </c:pt>
                <c:pt idx="117">
                  <c:v>35.728387979160509</c:v>
                </c:pt>
                <c:pt idx="118">
                  <c:v>37.801522478674627</c:v>
                </c:pt>
                <c:pt idx="119">
                  <c:v>40.082724448327745</c:v>
                </c:pt>
                <c:pt idx="120">
                  <c:v>42.604633184845703</c:v>
                </c:pt>
                <c:pt idx="121">
                  <c:v>45.407091434027969</c:v>
                </c:pt>
                <c:pt idx="122">
                  <c:v>48.53924867839185</c:v>
                </c:pt>
                <c:pt idx="123">
                  <c:v>52.062447079374181</c:v>
                </c:pt>
                <c:pt idx="124">
                  <c:v>53.09581196631359</c:v>
                </c:pt>
                <c:pt idx="125">
                  <c:v>54.139331726295012</c:v>
                </c:pt>
                <c:pt idx="126">
                  <c:v>55.193006359318325</c:v>
                </c:pt>
                <c:pt idx="127">
                  <c:v>56.256835865383643</c:v>
                </c:pt>
                <c:pt idx="128">
                  <c:v>57.330820244490866</c:v>
                </c:pt>
                <c:pt idx="129">
                  <c:v>60.060208761817456</c:v>
                </c:pt>
                <c:pt idx="130">
                  <c:v>62.297426214166194</c:v>
                </c:pt>
                <c:pt idx="131">
                  <c:v>64.273103468343962</c:v>
                </c:pt>
                <c:pt idx="132">
                  <c:v>66.258832355083968</c:v>
                </c:pt>
                <c:pt idx="133">
                  <c:v>68.254226957787736</c:v>
                </c:pt>
                <c:pt idx="134">
                  <c:v>70.25892086577015</c:v>
                </c:pt>
                <c:pt idx="135">
                  <c:v>74.294831272307633</c:v>
                </c:pt>
                <c:pt idx="136">
                  <c:v>78.363978350206153</c:v>
                </c:pt>
                <c:pt idx="137">
                  <c:v>82.464019794749163</c:v>
                </c:pt>
                <c:pt idx="138">
                  <c:v>86.592828343522029</c:v>
                </c:pt>
                <c:pt idx="139">
                  <c:v>90.74846765186507</c:v>
                </c:pt>
                <c:pt idx="140">
                  <c:v>94.929171344755161</c:v>
                </c:pt>
                <c:pt idx="141">
                  <c:v>99.133324767654884</c:v>
                </c:pt>
                <c:pt idx="142">
                  <c:v>103.35944903916429</c:v>
                </c:pt>
                <c:pt idx="143">
                  <c:v>107.60618707373024</c:v>
                </c:pt>
                <c:pt idx="144">
                  <c:v>111.01757764395551</c:v>
                </c:pt>
                <c:pt idx="145">
                  <c:v>111.01757764395551</c:v>
                </c:pt>
              </c:numCache>
            </c:numRef>
          </c:xVal>
          <c:yVal>
            <c:numRef>
              <c:f>Ver130kHz!$Y$62:$Y$207</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c:v>
                </c:pt>
                <c:pt idx="57">
                  <c:v>22</c:v>
                </c:pt>
                <c:pt idx="58">
                  <c:v>22</c:v>
                </c:pt>
                <c:pt idx="59">
                  <c:v>22.147228094998013</c:v>
                </c:pt>
                <c:pt idx="60">
                  <c:v>22.427132488142071</c:v>
                </c:pt>
                <c:pt idx="61">
                  <c:v>22.71420250158512</c:v>
                </c:pt>
                <c:pt idx="62">
                  <c:v>23.008716865531913</c:v>
                </c:pt>
                <c:pt idx="63">
                  <c:v>23.310968956251571</c:v>
                </c:pt>
                <c:pt idx="64">
                  <c:v>23.621267770866861</c:v>
                </c:pt>
                <c:pt idx="65">
                  <c:v>23.939938981047916</c:v>
                </c:pt>
                <c:pt idx="66">
                  <c:v>24.267326073163733</c:v>
                </c:pt>
                <c:pt idx="67">
                  <c:v>24.603791583282675</c:v>
                </c:pt>
                <c:pt idx="68">
                  <c:v>24.949718436356779</c:v>
                </c:pt>
                <c:pt idx="69">
                  <c:v>25.305511399989967</c:v>
                </c:pt>
                <c:pt idx="70">
                  <c:v>25.671598664393585</c:v>
                </c:pt>
                <c:pt idx="71">
                  <c:v>26.048433561495536</c:v>
                </c:pt>
                <c:pt idx="72">
                  <c:v>26.436496437714442</c:v>
                </c:pt>
                <c:pt idx="73">
                  <c:v>26.83629669666615</c:v>
                </c:pt>
                <c:pt idx="74">
                  <c:v>27.248375030067887</c:v>
                </c:pt>
                <c:pt idx="75">
                  <c:v>27.673305857384474</c:v>
                </c:pt>
                <c:pt idx="76">
                  <c:v>28.111699997364333</c:v>
                </c:pt>
                <c:pt idx="77">
                  <c:v>28.564207597594262</c:v>
                </c:pt>
                <c:pt idx="78">
                  <c:v>29.031521351621148</c:v>
                </c:pt>
                <c:pt idx="79">
                  <c:v>29.514380037121132</c:v>
                </c:pt>
                <c:pt idx="80">
                  <c:v>30.013572413126315</c:v>
                </c:pt>
                <c:pt idx="81">
                  <c:v>30.52994151955091</c:v>
                </c:pt>
                <c:pt idx="82">
                  <c:v>31.064389428314634</c:v>
                </c:pt>
                <c:pt idx="83">
                  <c:v>31.617882502388078</c:v>
                </c:pt>
                <c:pt idx="84">
                  <c:v>32.191457227258695</c:v>
                </c:pt>
                <c:pt idx="85">
                  <c:v>32.786226688850014</c:v>
                </c:pt>
                <c:pt idx="86">
                  <c:v>33.403387783074791</c:v>
                </c:pt>
                <c:pt idx="87">
                  <c:v>34.044229255276633</c:v>
                </c:pt>
                <c:pt idx="88">
                  <c:v>34.710140683189309</c:v>
                </c:pt>
                <c:pt idx="89">
                  <c:v>35.402622535178971</c:v>
                </c:pt>
                <c:pt idx="90">
                  <c:v>36.123297456992418</c:v>
                </c:pt>
                <c:pt idx="91">
                  <c:v>36.873922965706043</c:v>
                </c:pt>
                <c:pt idx="92">
                  <c:v>37.656405759905802</c:v>
                </c:pt>
                <c:pt idx="93">
                  <c:v>38.472817891383819</c:v>
                </c:pt>
                <c:pt idx="94">
                  <c:v>39.325415087123631</c:v>
                </c:pt>
                <c:pt idx="95">
                  <c:v>40.216657562701883</c:v>
                </c:pt>
                <c:pt idx="96">
                  <c:v>41.149233731517292</c:v>
                </c:pt>
                <c:pt idx="97">
                  <c:v>42.12608729106114</c:v>
                </c:pt>
                <c:pt idx="98">
                  <c:v>43.150448261055089</c:v>
                </c:pt>
                <c:pt idx="99">
                  <c:v>44.225868662891372</c:v>
                </c:pt>
                <c:pt idx="100">
                  <c:v>45.356263670784045</c:v>
                </c:pt>
                <c:pt idx="101">
                  <c:v>46.545959239292308</c:v>
                </c:pt>
                <c:pt idx="102">
                  <c:v>47.799747428375099</c:v>
                </c:pt>
                <c:pt idx="103">
                  <c:v>49.122950917569703</c:v>
                </c:pt>
                <c:pt idx="104">
                  <c:v>50.521498540618516</c:v>
                </c:pt>
                <c:pt idx="105">
                  <c:v>52.002014101196693</c:v>
                </c:pt>
                <c:pt idx="106">
                  <c:v>53.571921276376294</c:v>
                </c:pt>
                <c:pt idx="107">
                  <c:v>55.239568113406499</c:v>
                </c:pt>
                <c:pt idx="108">
                  <c:v>57.014375526443061</c:v>
                </c:pt>
                <c:pt idx="109">
                  <c:v>58.907015370116419</c:v>
                </c:pt>
                <c:pt idx="110">
                  <c:v>60.929625198714618</c:v>
                </c:pt>
                <c:pt idx="111">
                  <c:v>63.09606884186347</c:v>
                </c:pt>
                <c:pt idx="112">
                  <c:v>65.422254620638583</c:v>
                </c:pt>
                <c:pt idx="113">
                  <c:v>67.926526648872468</c:v>
                </c:pt>
                <c:pt idx="114">
                  <c:v>70.630149582300476</c:v>
                </c:pt>
                <c:pt idx="115">
                  <c:v>73.557913930776579</c:v>
                </c:pt>
                <c:pt idx="116">
                  <c:v>76.738898429491059</c:v>
                </c:pt>
                <c:pt idx="117">
                  <c:v>80.207439161838451</c:v>
                </c:pt>
                <c:pt idx="118">
                  <c:v>84.004373945752349</c:v>
                </c:pt>
                <c:pt idx="119">
                  <c:v>88.178657730845416</c:v>
                </c:pt>
                <c:pt idx="120">
                  <c:v>92.7894848064049</c:v>
                </c:pt>
                <c:pt idx="121">
                  <c:v>97.909113562085039</c:v>
                </c:pt>
                <c:pt idx="122">
                  <c:v>103.62668098851675</c:v>
                </c:pt>
                <c:pt idx="123">
                  <c:v>110.05343659208795</c:v>
                </c:pt>
                <c:pt idx="124">
                  <c:v>110.05343659208785</c:v>
                </c:pt>
                <c:pt idx="125">
                  <c:v>110.05343659208785</c:v>
                </c:pt>
                <c:pt idx="126">
                  <c:v>110.05343659208785</c:v>
                </c:pt>
                <c:pt idx="127">
                  <c:v>110.05343659208785</c:v>
                </c:pt>
                <c:pt idx="128">
                  <c:v>110.05343659208785</c:v>
                </c:pt>
                <c:pt idx="129">
                  <c:v>110.05343659208785</c:v>
                </c:pt>
                <c:pt idx="130">
                  <c:v>109.08053282692747</c:v>
                </c:pt>
                <c:pt idx="131">
                  <c:v>107.64787122637591</c:v>
                </c:pt>
                <c:pt idx="132">
                  <c:v>106.25235486033374</c:v>
                </c:pt>
                <c:pt idx="133">
                  <c:v>104.89255759603427</c:v>
                </c:pt>
                <c:pt idx="134">
                  <c:v>103.56712538370132</c:v>
                </c:pt>
                <c:pt idx="135">
                  <c:v>101.01427367891068</c:v>
                </c:pt>
                <c:pt idx="136">
                  <c:v>98.58424619639095</c:v>
                </c:pt>
                <c:pt idx="137">
                  <c:v>96.268387082732602</c:v>
                </c:pt>
                <c:pt idx="138">
                  <c:v>94.05883516108031</c:v>
                </c:pt>
                <c:pt idx="139">
                  <c:v>91.948434780246942</c:v>
                </c:pt>
                <c:pt idx="140">
                  <c:v>89.930658402138022</c:v>
                </c:pt>
                <c:pt idx="141">
                  <c:v>87.999539163055232</c:v>
                </c:pt>
                <c:pt idx="142">
                  <c:v>86.149611941181632</c:v>
                </c:pt>
                <c:pt idx="143">
                  <c:v>84.375861704301272</c:v>
                </c:pt>
                <c:pt idx="144">
                  <c:v>83.008598242716332</c:v>
                </c:pt>
                <c:pt idx="145">
                  <c:v>83.008598242716332</c:v>
                </c:pt>
              </c:numCache>
            </c:numRef>
          </c:yVal>
          <c:smooth val="1"/>
        </c:ser>
        <c:ser>
          <c:idx val="17"/>
          <c:order val="10"/>
          <c:tx>
            <c:v>Vcs Limit(OLP)</c:v>
          </c:tx>
          <c:spPr>
            <a:ln>
              <a:solidFill>
                <a:srgbClr val="FF0000"/>
              </a:solidFill>
              <a:prstDash val="dash"/>
            </a:ln>
          </c:spPr>
          <c:marker>
            <c:symbol val="none"/>
          </c:marker>
          <c:dPt>
            <c:idx val="1"/>
            <c:bubble3D val="0"/>
            <c:spPr>
              <a:ln w="19050">
                <a:solidFill>
                  <a:srgbClr val="FF0000"/>
                </a:solidFill>
                <a:prstDash val="sysDash"/>
              </a:ln>
            </c:spPr>
          </c:dPt>
          <c:xVal>
            <c:numRef>
              <c:f>(Ver130kHz!$J$359,Ver130kHz!$J$360)</c:f>
              <c:numCache>
                <c:formatCode>0.00</c:formatCode>
                <c:ptCount val="2"/>
                <c:pt idx="0">
                  <c:v>70.428372403603589</c:v>
                </c:pt>
                <c:pt idx="1">
                  <c:v>70.428372403603589</c:v>
                </c:pt>
              </c:numCache>
            </c:numRef>
          </c:xVal>
          <c:yVal>
            <c:numRef>
              <c:f>(Ver130kHz!$I$359,Ver130kHz!$I$360)</c:f>
              <c:numCache>
                <c:formatCode>General</c:formatCode>
                <c:ptCount val="2"/>
                <c:pt idx="0" formatCode="0.00">
                  <c:v>52.659773288229744</c:v>
                </c:pt>
                <c:pt idx="1">
                  <c:v>0</c:v>
                </c:pt>
              </c:numCache>
            </c:numRef>
          </c:yVal>
          <c:smooth val="1"/>
        </c:ser>
        <c:dLbls>
          <c:showLegendKey val="0"/>
          <c:showVal val="0"/>
          <c:showCatName val="0"/>
          <c:showSerName val="0"/>
          <c:showPercent val="0"/>
          <c:showBubbleSize val="0"/>
        </c:dLbls>
        <c:axId val="148192256"/>
        <c:axId val="148219008"/>
      </c:scatterChart>
      <c:valAx>
        <c:axId val="148192256"/>
        <c:scaling>
          <c:orientation val="minMax"/>
          <c:max val="80"/>
          <c:min val="0"/>
        </c:scaling>
        <c:delete val="0"/>
        <c:axPos val="b"/>
        <c:majorGridlines/>
        <c:minorGridlines/>
        <c:title>
          <c:tx>
            <c:rich>
              <a:bodyPr/>
              <a:lstStyle/>
              <a:p>
                <a:pPr>
                  <a:defRPr sz="1600"/>
                </a:pPr>
                <a:r>
                  <a:rPr lang="en-US" altLang="zh-TW" sz="1600"/>
                  <a:t>Output</a:t>
                </a:r>
                <a:r>
                  <a:rPr lang="en-US" altLang="zh-TW" sz="1600" baseline="0"/>
                  <a:t> Power</a:t>
                </a:r>
                <a:r>
                  <a:rPr lang="en-US" altLang="zh-TW" sz="1600"/>
                  <a:t> (W)</a:t>
                </a:r>
                <a:endParaRPr lang="zh-TW" altLang="en-US" sz="1600"/>
              </a:p>
            </c:rich>
          </c:tx>
          <c:layout>
            <c:manualLayout>
              <c:xMode val="edge"/>
              <c:yMode val="edge"/>
              <c:x val="0.40986321760487143"/>
              <c:y val="0.92453191323246353"/>
            </c:manualLayout>
          </c:layout>
          <c:overlay val="0"/>
        </c:title>
        <c:numFmt formatCode="General" sourceLinked="0"/>
        <c:majorTickMark val="none"/>
        <c:minorTickMark val="in"/>
        <c:tickLblPos val="nextTo"/>
        <c:txPr>
          <a:bodyPr/>
          <a:lstStyle/>
          <a:p>
            <a:pPr>
              <a:defRPr sz="1200"/>
            </a:pPr>
            <a:endParaRPr lang="en-US"/>
          </a:p>
        </c:txPr>
        <c:crossAx val="148219008"/>
        <c:crosses val="autoZero"/>
        <c:crossBetween val="midCat"/>
        <c:majorUnit val="5"/>
        <c:minorUnit val="5"/>
      </c:valAx>
      <c:valAx>
        <c:axId val="148219008"/>
        <c:scaling>
          <c:orientation val="minMax"/>
        </c:scaling>
        <c:delete val="0"/>
        <c:axPos val="l"/>
        <c:majorGridlines/>
        <c:title>
          <c:tx>
            <c:rich>
              <a:bodyPr/>
              <a:lstStyle/>
              <a:p>
                <a:pPr>
                  <a:defRPr sz="1600"/>
                </a:pPr>
                <a:r>
                  <a:rPr lang="en-US" altLang="zh-TW" sz="1600"/>
                  <a:t>FSW (KHz)</a:t>
                </a:r>
                <a:endParaRPr lang="zh-TW" altLang="en-US" sz="1600"/>
              </a:p>
            </c:rich>
          </c:tx>
          <c:layout>
            <c:manualLayout>
              <c:xMode val="edge"/>
              <c:yMode val="edge"/>
              <c:x val="1.3263270709367619E-2"/>
              <c:y val="0.42225663411068759"/>
            </c:manualLayout>
          </c:layout>
          <c:overlay val="0"/>
        </c:title>
        <c:numFmt formatCode="#,##0_);\(#,##0\)" sourceLinked="0"/>
        <c:majorTickMark val="none"/>
        <c:minorTickMark val="none"/>
        <c:tickLblPos val="nextTo"/>
        <c:txPr>
          <a:bodyPr/>
          <a:lstStyle/>
          <a:p>
            <a:pPr>
              <a:defRPr sz="1200"/>
            </a:pPr>
            <a:endParaRPr lang="en-US"/>
          </a:p>
        </c:txPr>
        <c:crossAx val="148192256"/>
        <c:crosses val="autoZero"/>
        <c:crossBetween val="midCat"/>
        <c:majorUnit val="10"/>
      </c:valAx>
    </c:plotArea>
    <c:legend>
      <c:legendPos val="r"/>
      <c:layout>
        <c:manualLayout>
          <c:xMode val="edge"/>
          <c:yMode val="edge"/>
          <c:x val="0.13143760491523399"/>
          <c:y val="8.8043927624423549E-2"/>
          <c:w val="0.42293891852595339"/>
          <c:h val="0.1742806216212143"/>
        </c:manualLayout>
      </c:layout>
      <c:overlay val="1"/>
      <c:spPr>
        <a:solidFill>
          <a:schemeClr val="bg1">
            <a:alpha val="80000"/>
          </a:schemeClr>
        </a:solidFill>
        <a:ln>
          <a:noFill/>
        </a:ln>
      </c:spPr>
      <c:txPr>
        <a:bodyPr/>
        <a:lstStyle/>
        <a:p>
          <a:pPr>
            <a:defRPr sz="900"/>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800" b="1"/>
            </a:pPr>
            <a:r>
              <a:rPr lang="en-US" sz="1800"/>
              <a:t>Frequency Curve at</a:t>
            </a:r>
            <a:r>
              <a:rPr lang="en-US" sz="1800" baseline="0"/>
              <a:t> Low Line Input </a:t>
            </a:r>
            <a:r>
              <a:rPr lang="en-US" sz="1800"/>
              <a:t>(i-ACF)</a:t>
            </a:r>
          </a:p>
        </c:rich>
      </c:tx>
      <c:layout>
        <c:manualLayout>
          <c:xMode val="edge"/>
          <c:yMode val="edge"/>
          <c:x val="0.18213815880145359"/>
          <c:y val="1.0557998883189522E-2"/>
        </c:manualLayout>
      </c:layout>
      <c:overlay val="0"/>
    </c:title>
    <c:autoTitleDeleted val="0"/>
    <c:plotArea>
      <c:layout>
        <c:manualLayout>
          <c:layoutTarget val="inner"/>
          <c:xMode val="edge"/>
          <c:yMode val="edge"/>
          <c:x val="0.13034994274335077"/>
          <c:y val="8.4779432384545772E-2"/>
          <c:w val="0.82712210361229599"/>
          <c:h val="0.77794459280315087"/>
        </c:manualLayout>
      </c:layout>
      <c:scatterChart>
        <c:scatterStyle val="smoothMarker"/>
        <c:varyColors val="0"/>
        <c:ser>
          <c:idx val="2"/>
          <c:order val="0"/>
          <c:tx>
            <c:v>Upper Bound</c:v>
          </c:tx>
          <c:spPr>
            <a:ln>
              <a:solidFill>
                <a:srgbClr val="000000"/>
              </a:solidFill>
              <a:prstDash val="lgDash"/>
            </a:ln>
          </c:spPr>
          <c:marker>
            <c:symbol val="none"/>
          </c:marker>
          <c:xVal>
            <c:numRef>
              <c:f>Ver130kHz!$F$214:$F$359</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4.6659984042518658</c:v>
                </c:pt>
                <c:pt idx="57">
                  <c:v>4.7946270126310253</c:v>
                </c:pt>
                <c:pt idx="58">
                  <c:v>4.9270512263163555</c:v>
                </c:pt>
                <c:pt idx="59">
                  <c:v>5.0634178536063903</c:v>
                </c:pt>
                <c:pt idx="60">
                  <c:v>5.2038813727861086</c:v>
                </c:pt>
                <c:pt idx="61">
                  <c:v>5.3486044396530383</c:v>
                </c:pt>
                <c:pt idx="62">
                  <c:v>5.4977584358837088</c:v>
                </c:pt>
                <c:pt idx="63">
                  <c:v>5.6515240621266782</c:v>
                </c:pt>
                <c:pt idx="64">
                  <c:v>5.8100919801368613</c:v>
                </c:pt>
                <c:pt idx="65">
                  <c:v>5.9736635087482002</c:v>
                </c:pt>
                <c:pt idx="66">
                  <c:v>6.1424513790256245</c:v>
                </c:pt>
                <c:pt idx="67">
                  <c:v>6.3166805545513975</c:v>
                </c:pt>
                <c:pt idx="68">
                  <c:v>6.4965891234959194</c:v>
                </c:pt>
                <c:pt idx="69">
                  <c:v>6.6824292699103633</c:v>
                </c:pt>
                <c:pt idx="70">
                  <c:v>6.8744683325724552</c:v>
                </c:pt>
                <c:pt idx="71">
                  <c:v>7.0729899607333753</c:v>
                </c:pt>
                <c:pt idx="72">
                  <c:v>7.278295377271907</c:v>
                </c:pt>
                <c:pt idx="73">
                  <c:v>7.4907047610844222</c:v>
                </c:pt>
                <c:pt idx="74">
                  <c:v>7.7105587620517904</c:v>
                </c:pt>
                <c:pt idx="75">
                  <c:v>7.9382201636578982</c:v>
                </c:pt>
                <c:pt idx="76">
                  <c:v>8.1740757103258552</c:v>
                </c:pt>
                <c:pt idx="77">
                  <c:v>8.4185381188301402</c:v>
                </c:pt>
                <c:pt idx="78">
                  <c:v>8.6720482957872136</c:v>
                </c:pt>
                <c:pt idx="79">
                  <c:v>8.935077786285424</c:v>
                </c:pt>
                <c:pt idx="80">
                  <c:v>9.2081314822590965</c:v>
                </c:pt>
                <c:pt idx="81">
                  <c:v>9.4917506233305389</c:v>
                </c:pt>
                <c:pt idx="82">
                  <c:v>9.7865161276417272</c:v>
                </c:pt>
                <c:pt idx="83">
                  <c:v>10.093052295801424</c:v>
                </c:pt>
                <c:pt idx="84">
                  <c:v>10.412030937637311</c:v>
                </c:pt>
                <c:pt idx="85">
                  <c:v>10.744175979152253</c:v>
                </c:pt>
                <c:pt idx="86">
                  <c:v>11.090268616165266</c:v>
                </c:pt>
                <c:pt idx="87">
                  <c:v>11.451153091848713</c:v>
                </c:pt>
                <c:pt idx="88">
                  <c:v>11.827743188092837</c:v>
                </c:pt>
                <c:pt idx="89">
                  <c:v>12.221029535754868</c:v>
                </c:pt>
                <c:pt idx="90">
                  <c:v>12.632087866900424</c:v>
                </c:pt>
                <c:pt idx="91">
                  <c:v>13.062088353760236</c:v>
                </c:pt>
                <c:pt idx="92">
                  <c:v>13.512306205106551</c:v>
                </c:pt>
                <c:pt idx="93">
                  <c:v>13.984133722102321</c:v>
                </c:pt>
                <c:pt idx="94">
                  <c:v>14.479094053654226</c:v>
                </c:pt>
                <c:pt idx="95">
                  <c:v>14.998856937501628</c:v>
                </c:pt>
                <c:pt idx="96">
                  <c:v>15.545256769726608</c:v>
                </c:pt>
                <c:pt idx="97">
                  <c:v>16.120313414664913</c:v>
                </c:pt>
                <c:pt idx="98">
                  <c:v>16.726256252665241</c:v>
                </c:pt>
                <c:pt idx="99">
                  <c:v>17.365552069089734</c:v>
                </c:pt>
                <c:pt idx="100">
                  <c:v>18.040937519973536</c:v>
                </c:pt>
                <c:pt idx="101">
                  <c:v>18.755457075197171</c:v>
                </c:pt>
                <c:pt idx="102">
                  <c:v>19.512507548542541</c:v>
                </c:pt>
                <c:pt idx="103">
                  <c:v>20.315890588433557</c:v>
                </c:pt>
                <c:pt idx="104">
                  <c:v>21.169874840680745</c:v>
                </c:pt>
                <c:pt idx="105">
                  <c:v>22.079269928308882</c:v>
                </c:pt>
                <c:pt idx="106">
                  <c:v>23.049514955040749</c:v>
                </c:pt>
                <c:pt idx="107">
                  <c:v>24.086784971444292</c:v>
                </c:pt>
                <c:pt idx="108">
                  <c:v>25.198119805974194</c:v>
                </c:pt>
                <c:pt idx="109">
                  <c:v>26.391580940885202</c:v>
                </c:pt>
                <c:pt idx="110">
                  <c:v>27.676443823670464</c:v>
                </c:pt>
                <c:pt idx="111">
                  <c:v>29.063435317648199</c:v>
                </c:pt>
                <c:pt idx="112">
                  <c:v>30.565029155788942</c:v>
                </c:pt>
                <c:pt idx="113">
                  <c:v>32.195816629529105</c:v>
                </c:pt>
                <c:pt idx="114">
                  <c:v>33.972975854192697</c:v>
                </c:pt>
                <c:pt idx="115">
                  <c:v>35.916871612730354</c:v>
                </c:pt>
                <c:pt idx="116">
                  <c:v>38.051830230008299</c:v>
                </c:pt>
                <c:pt idx="117">
                  <c:v>40.407152108448763</c:v>
                </c:pt>
                <c:pt idx="118">
                  <c:v>43.018451548244869</c:v>
                </c:pt>
                <c:pt idx="119">
                  <c:v>45.929454300236202</c:v>
                </c:pt>
                <c:pt idx="120">
                  <c:v>49.194446308481503</c:v>
                </c:pt>
                <c:pt idx="121">
                  <c:v>52.881666547486333</c:v>
                </c:pt>
                <c:pt idx="122">
                  <c:v>57.078097768401499</c:v>
                </c:pt>
                <c:pt idx="123">
                  <c:v>61.896376656593809</c:v>
                </c:pt>
                <c:pt idx="124">
                  <c:v>63.124930938112406</c:v>
                </c:pt>
                <c:pt idx="125">
                  <c:v>64.365558218154291</c:v>
                </c:pt>
                <c:pt idx="126">
                  <c:v>65.618258496719321</c:v>
                </c:pt>
                <c:pt idx="127">
                  <c:v>66.88303177380763</c:v>
                </c:pt>
                <c:pt idx="128">
                  <c:v>68.15987804941912</c:v>
                </c:pt>
                <c:pt idx="129">
                  <c:v>71.404813106986893</c:v>
                </c:pt>
                <c:pt idx="130">
                  <c:v>74.725204405324774</c:v>
                </c:pt>
                <c:pt idx="131">
                  <c:v>78.12105194443275</c:v>
                </c:pt>
                <c:pt idx="132">
                  <c:v>81.592355724310778</c:v>
                </c:pt>
                <c:pt idx="133">
                  <c:v>85.139115744958943</c:v>
                </c:pt>
                <c:pt idx="134">
                  <c:v>88.76133200637716</c:v>
                </c:pt>
                <c:pt idx="135">
                  <c:v>96.232133251523848</c:v>
                </c:pt>
                <c:pt idx="136">
                  <c:v>104.0047594597509</c:v>
                </c:pt>
                <c:pt idx="137">
                  <c:v>112.07921063105823</c:v>
                </c:pt>
                <c:pt idx="138">
                  <c:v>120.45548676544593</c:v>
                </c:pt>
                <c:pt idx="139">
                  <c:v>129.13358786291403</c:v>
                </c:pt>
                <c:pt idx="140">
                  <c:v>138.11351392346242</c:v>
                </c:pt>
                <c:pt idx="141">
                  <c:v>147.39526494709114</c:v>
                </c:pt>
                <c:pt idx="142">
                  <c:v>156.97884093380017</c:v>
                </c:pt>
                <c:pt idx="143">
                  <c:v>166.86424188358961</c:v>
                </c:pt>
                <c:pt idx="144">
                  <c:v>174.98987661683901</c:v>
                </c:pt>
                <c:pt idx="145">
                  <c:v>174.98987661683901</c:v>
                </c:pt>
              </c:numCache>
            </c:numRef>
          </c:xVal>
          <c:yVal>
            <c:numRef>
              <c:f>Ver130kHz!$E$214:$E$359</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22.026757883358133</c:v>
                </c:pt>
                <c:pt idx="57">
                  <c:v>22.303606436933268</c:v>
                </c:pt>
                <c:pt idx="58">
                  <c:v>22.58750284716422</c:v>
                </c:pt>
                <c:pt idx="59">
                  <c:v>22.878719714535098</c:v>
                </c:pt>
                <c:pt idx="60">
                  <c:v>23.177543881517952</c:v>
                </c:pt>
                <c:pt idx="61">
                  <c:v>23.48427737497089</c:v>
                </c:pt>
                <c:pt idx="62">
                  <c:v>23.799238424370419</c:v>
                </c:pt>
                <c:pt idx="63">
                  <c:v>24.122762563094199</c:v>
                </c:pt>
                <c:pt idx="64">
                  <c:v>24.455203820765959</c:v>
                </c:pt>
                <c:pt idx="65">
                  <c:v>24.796936015569976</c:v>
                </c:pt>
                <c:pt idx="66">
                  <c:v>25.148354156452349</c:v>
                </c:pt>
                <c:pt idx="67">
                  <c:v>25.509875966266939</c:v>
                </c:pt>
                <c:pt idx="68">
                  <c:v>25.881943538213928</c:v>
                </c:pt>
                <c:pt idx="69">
                  <c:v>26.265025139381205</c:v>
                </c:pt>
                <c:pt idx="70">
                  <c:v>26.659617176858553</c:v>
                </c:pt>
                <c:pt idx="71">
                  <c:v>27.066246343782272</c:v>
                </c:pt>
                <c:pt idx="72">
                  <c:v>27.485471964818597</c:v>
                </c:pt>
                <c:pt idx="73">
                  <c:v>27.917888563049853</c:v>
                </c:pt>
                <c:pt idx="74">
                  <c:v>28.364128673035488</c:v>
                </c:pt>
                <c:pt idx="75">
                  <c:v>28.824865928039575</c:v>
                </c:pt>
                <c:pt idx="76">
                  <c:v>29.300818453113759</c:v>
                </c:pt>
                <c:pt idx="77">
                  <c:v>29.792752599980972</c:v>
                </c:pt>
                <c:pt idx="78">
                  <c:v>30.301487064575266</c:v>
                </c:pt>
                <c:pt idx="79">
                  <c:v>30.82789743377182</c:v>
                </c:pt>
                <c:pt idx="80">
                  <c:v>31.372921214422043</c:v>
                </c:pt>
                <c:pt idx="81">
                  <c:v>31.937563405456757</c:v>
                </c:pt>
                <c:pt idx="82">
                  <c:v>32.522902682729509</c:v>
                </c:pt>
                <c:pt idx="83">
                  <c:v>33.130098276678069</c:v>
                </c:pt>
                <c:pt idx="84">
                  <c:v>33.76039763506995</c:v>
                </c:pt>
                <c:pt idx="85">
                  <c:v>34.415144977413249</c:v>
                </c:pt>
                <c:pt idx="86">
                  <c:v>35.095790864477152</c:v>
                </c:pt>
                <c:pt idx="87">
                  <c:v>35.803902926292089</c:v>
                </c:pt>
                <c:pt idx="88">
                  <c:v>36.54117791561751</c:v>
                </c:pt>
                <c:pt idx="89">
                  <c:v>37.309455281952879</c:v>
                </c:pt>
                <c:pt idx="90">
                  <c:v>38.11073249468371</c:v>
                </c:pt>
                <c:pt idx="91">
                  <c:v>38.947182384091214</c:v>
                </c:pt>
                <c:pt idx="92">
                  <c:v>39.821172817197386</c:v>
                </c:pt>
                <c:pt idx="93">
                  <c:v>40.735289083627144</c:v>
                </c:pt>
                <c:pt idx="94">
                  <c:v>41.692359437188173</c:v>
                </c:pt>
                <c:pt idx="95">
                  <c:v>42.695484324657897</c:v>
                </c:pt>
                <c:pt idx="96">
                  <c:v>43.748069938090964</c:v>
                </c:pt>
                <c:pt idx="97">
                  <c:v>44.853866855630855</c:v>
                </c:pt>
                <c:pt idx="98">
                  <c:v>46.017014694508909</c:v>
                </c:pt>
                <c:pt idx="99">
                  <c:v>47.242093896639055</c:v>
                </c:pt>
                <c:pt idx="100">
                  <c:v>48.534186012366021</c:v>
                </c:pt>
                <c:pt idx="101">
                  <c:v>49.8989441551144</c:v>
                </c:pt>
                <c:pt idx="102">
                  <c:v>51.342675686870059</c:v>
                </c:pt>
                <c:pt idx="103">
                  <c:v>52.872439685431154</c:v>
                </c:pt>
                <c:pt idx="104">
                  <c:v>54.496162371086768</c:v>
                </c:pt>
                <c:pt idx="105">
                  <c:v>56.222774475805288</c:v>
                </c:pt>
                <c:pt idx="106">
                  <c:v>58.062375580623716</c:v>
                </c:pt>
                <c:pt idx="107">
                  <c:v>60.026431806946903</c:v>
                </c:pt>
                <c:pt idx="108">
                  <c:v>62.128015036023768</c:v>
                </c:pt>
                <c:pt idx="109">
                  <c:v>64.38209420344738</c:v>
                </c:pt>
                <c:pt idx="110">
                  <c:v>66.805892391987754</c:v>
                </c:pt>
                <c:pt idx="111">
                  <c:v>69.419327740896691</c:v>
                </c:pt>
                <c:pt idx="112">
                  <c:v>72.245562058330648</c:v>
                </c:pt>
                <c:pt idx="113">
                  <c:v>75.311689133599103</c:v>
                </c:pt>
                <c:pt idx="114">
                  <c:v>78.649606091048369</c:v>
                </c:pt>
                <c:pt idx="115">
                  <c:v>82.297127207845165</c:v>
                </c:pt>
                <c:pt idx="116">
                  <c:v>86.299422736634369</c:v>
                </c:pt>
                <c:pt idx="117">
                  <c:v>90.710899028859785</c:v>
                </c:pt>
                <c:pt idx="118">
                  <c:v>95.597686375321189</c:v>
                </c:pt>
                <c:pt idx="119">
                  <c:v>101.04097678604779</c:v>
                </c:pt>
                <c:pt idx="120">
                  <c:v>107.14157092952043</c:v>
                </c:pt>
                <c:pt idx="121">
                  <c:v>114.02617811080658</c:v>
                </c:pt>
                <c:pt idx="122">
                  <c:v>121.85631195215844</c:v>
                </c:pt>
                <c:pt idx="123">
                  <c:v>130.8411214953272</c:v>
                </c:pt>
                <c:pt idx="124">
                  <c:v>130.84112149532709</c:v>
                </c:pt>
                <c:pt idx="125">
                  <c:v>130.84112149532709</c:v>
                </c:pt>
                <c:pt idx="126">
                  <c:v>130.84112149532709</c:v>
                </c:pt>
                <c:pt idx="127">
                  <c:v>130.84112149532709</c:v>
                </c:pt>
                <c:pt idx="128">
                  <c:v>130.84112149532709</c:v>
                </c:pt>
                <c:pt idx="129">
                  <c:v>130.84112149532709</c:v>
                </c:pt>
                <c:pt idx="130">
                  <c:v>130.84112149532709</c:v>
                </c:pt>
                <c:pt idx="131">
                  <c:v>130.84112149532709</c:v>
                </c:pt>
                <c:pt idx="132">
                  <c:v>130.84112149532709</c:v>
                </c:pt>
                <c:pt idx="133">
                  <c:v>130.84112149532709</c:v>
                </c:pt>
                <c:pt idx="134">
                  <c:v>130.84112149532709</c:v>
                </c:pt>
                <c:pt idx="135">
                  <c:v>130.84112149532709</c:v>
                </c:pt>
                <c:pt idx="136">
                  <c:v>130.84112149532709</c:v>
                </c:pt>
                <c:pt idx="137">
                  <c:v>130.84112149532709</c:v>
                </c:pt>
                <c:pt idx="138">
                  <c:v>130.84112149532709</c:v>
                </c:pt>
                <c:pt idx="139">
                  <c:v>130.84112149532709</c:v>
                </c:pt>
                <c:pt idx="140">
                  <c:v>130.84112149532709</c:v>
                </c:pt>
                <c:pt idx="141">
                  <c:v>130.84112149532709</c:v>
                </c:pt>
                <c:pt idx="142">
                  <c:v>130.84112149532709</c:v>
                </c:pt>
                <c:pt idx="143">
                  <c:v>130.84112149532709</c:v>
                </c:pt>
                <c:pt idx="144">
                  <c:v>130.84112149532709</c:v>
                </c:pt>
                <c:pt idx="145">
                  <c:v>130.84112149532709</c:v>
                </c:pt>
              </c:numCache>
            </c:numRef>
          </c:yVal>
          <c:smooth val="0"/>
        </c:ser>
        <c:ser>
          <c:idx val="6"/>
          <c:order val="1"/>
          <c:tx>
            <c:strRef>
              <c:f>Ver130kHz!$G$212</c:f>
              <c:strCache>
                <c:ptCount val="1"/>
                <c:pt idx="0">
                  <c:v>VBULK_Min, 65VDC</c:v>
                </c:pt>
              </c:strCache>
            </c:strRef>
          </c:tx>
          <c:spPr>
            <a:ln>
              <a:solidFill>
                <a:srgbClr val="3333FF"/>
              </a:solidFill>
              <a:prstDash val="solid"/>
            </a:ln>
          </c:spPr>
          <c:marker>
            <c:symbol val="none"/>
          </c:marker>
          <c:xVal>
            <c:numRef>
              <c:f>Ver130kHz!$J$214:$J$359</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4.6659984042518658</c:v>
                </c:pt>
                <c:pt idx="57">
                  <c:v>4.7946270126310253</c:v>
                </c:pt>
                <c:pt idx="58">
                  <c:v>4.9270512263163555</c:v>
                </c:pt>
                <c:pt idx="59">
                  <c:v>5.0634178536063903</c:v>
                </c:pt>
                <c:pt idx="60">
                  <c:v>5.2038813727861086</c:v>
                </c:pt>
                <c:pt idx="61">
                  <c:v>5.3486044396530383</c:v>
                </c:pt>
                <c:pt idx="62">
                  <c:v>5.4977584358837088</c:v>
                </c:pt>
                <c:pt idx="63">
                  <c:v>5.6515240621266782</c:v>
                </c:pt>
                <c:pt idx="64">
                  <c:v>5.8100919801368613</c:v>
                </c:pt>
                <c:pt idx="65">
                  <c:v>5.9736635087482002</c:v>
                </c:pt>
                <c:pt idx="66">
                  <c:v>6.1424513790256245</c:v>
                </c:pt>
                <c:pt idx="67">
                  <c:v>6.3166805545513975</c:v>
                </c:pt>
                <c:pt idx="68">
                  <c:v>6.4965891234959194</c:v>
                </c:pt>
                <c:pt idx="69">
                  <c:v>6.6824292699103633</c:v>
                </c:pt>
                <c:pt idx="70">
                  <c:v>6.8744683325724552</c:v>
                </c:pt>
                <c:pt idx="71">
                  <c:v>7.0729899607333753</c:v>
                </c:pt>
                <c:pt idx="72">
                  <c:v>7.278295377271907</c:v>
                </c:pt>
                <c:pt idx="73">
                  <c:v>7.4907047610844222</c:v>
                </c:pt>
                <c:pt idx="74">
                  <c:v>7.7105587620517904</c:v>
                </c:pt>
                <c:pt idx="75">
                  <c:v>7.9382201636578982</c:v>
                </c:pt>
                <c:pt idx="76">
                  <c:v>8.1740757103258552</c:v>
                </c:pt>
                <c:pt idx="77">
                  <c:v>8.4185381188301402</c:v>
                </c:pt>
                <c:pt idx="78">
                  <c:v>8.6720482957872136</c:v>
                </c:pt>
                <c:pt idx="79">
                  <c:v>8.935077786285424</c:v>
                </c:pt>
                <c:pt idx="80">
                  <c:v>9.2081314822590965</c:v>
                </c:pt>
                <c:pt idx="81">
                  <c:v>9.4917506233305389</c:v>
                </c:pt>
                <c:pt idx="82">
                  <c:v>9.7865161276417272</c:v>
                </c:pt>
                <c:pt idx="83">
                  <c:v>10.093052295801424</c:v>
                </c:pt>
                <c:pt idx="84">
                  <c:v>10.412030937637311</c:v>
                </c:pt>
                <c:pt idx="85">
                  <c:v>10.744175979152253</c:v>
                </c:pt>
                <c:pt idx="86">
                  <c:v>11.090268616165266</c:v>
                </c:pt>
                <c:pt idx="87">
                  <c:v>11.451153091848713</c:v>
                </c:pt>
                <c:pt idx="88">
                  <c:v>11.827743188092837</c:v>
                </c:pt>
                <c:pt idx="89">
                  <c:v>12.221029535754868</c:v>
                </c:pt>
                <c:pt idx="90">
                  <c:v>12.632087866900424</c:v>
                </c:pt>
                <c:pt idx="91">
                  <c:v>13.062088353760236</c:v>
                </c:pt>
                <c:pt idx="92">
                  <c:v>13.512306205106551</c:v>
                </c:pt>
                <c:pt idx="93">
                  <c:v>13.984133722102321</c:v>
                </c:pt>
                <c:pt idx="94">
                  <c:v>14.479094053654226</c:v>
                </c:pt>
                <c:pt idx="95">
                  <c:v>14.998856937501628</c:v>
                </c:pt>
                <c:pt idx="96">
                  <c:v>15.545256769726608</c:v>
                </c:pt>
                <c:pt idx="97">
                  <c:v>16.120313414664913</c:v>
                </c:pt>
                <c:pt idx="98">
                  <c:v>16.726256252665241</c:v>
                </c:pt>
                <c:pt idx="99">
                  <c:v>17.365552069089734</c:v>
                </c:pt>
                <c:pt idx="100">
                  <c:v>18.040937519973536</c:v>
                </c:pt>
                <c:pt idx="101">
                  <c:v>18.755457075197171</c:v>
                </c:pt>
                <c:pt idx="102">
                  <c:v>19.512507548542541</c:v>
                </c:pt>
                <c:pt idx="103">
                  <c:v>20.315890588433557</c:v>
                </c:pt>
                <c:pt idx="104">
                  <c:v>21.169874840680745</c:v>
                </c:pt>
                <c:pt idx="105">
                  <c:v>22.079269928308882</c:v>
                </c:pt>
                <c:pt idx="106">
                  <c:v>23.049514955040749</c:v>
                </c:pt>
                <c:pt idx="107">
                  <c:v>24.086784971444292</c:v>
                </c:pt>
                <c:pt idx="108">
                  <c:v>25.198119805974194</c:v>
                </c:pt>
                <c:pt idx="109">
                  <c:v>26.391580940885202</c:v>
                </c:pt>
                <c:pt idx="110">
                  <c:v>27.676443823670464</c:v>
                </c:pt>
                <c:pt idx="111">
                  <c:v>29.063435317648199</c:v>
                </c:pt>
                <c:pt idx="112">
                  <c:v>30.565029155788942</c:v>
                </c:pt>
                <c:pt idx="113">
                  <c:v>32.195816629529105</c:v>
                </c:pt>
                <c:pt idx="114">
                  <c:v>33.972975854192697</c:v>
                </c:pt>
                <c:pt idx="115">
                  <c:v>35.916871612730354</c:v>
                </c:pt>
                <c:pt idx="116">
                  <c:v>38.051830230008299</c:v>
                </c:pt>
                <c:pt idx="117">
                  <c:v>39.876185697163827</c:v>
                </c:pt>
                <c:pt idx="118">
                  <c:v>40.088180495559314</c:v>
                </c:pt>
                <c:pt idx="119">
                  <c:v>40.300179371398052</c:v>
                </c:pt>
                <c:pt idx="120">
                  <c:v>40.512182266076294</c:v>
                </c:pt>
                <c:pt idx="121">
                  <c:v>40.724189122107916</c:v>
                </c:pt>
                <c:pt idx="122">
                  <c:v>40.93619988309802</c:v>
                </c:pt>
                <c:pt idx="123">
                  <c:v>41.148214493717127</c:v>
                </c:pt>
                <c:pt idx="124">
                  <c:v>41.572255047701908</c:v>
                </c:pt>
                <c:pt idx="125">
                  <c:v>41.996310361800425</c:v>
                </c:pt>
                <c:pt idx="126">
                  <c:v>42.420380029265964</c:v>
                </c:pt>
                <c:pt idx="127">
                  <c:v>42.844463658160869</c:v>
                </c:pt>
                <c:pt idx="128">
                  <c:v>43.268560870688532</c:v>
                </c:pt>
                <c:pt idx="129">
                  <c:v>44.32886097139636</c:v>
                </c:pt>
                <c:pt idx="130">
                  <c:v>45.389238377926574</c:v>
                </c:pt>
                <c:pt idx="131">
                  <c:v>46.449688191911136</c:v>
                </c:pt>
                <c:pt idx="132">
                  <c:v>47.510205920259082</c:v>
                </c:pt>
                <c:pt idx="133">
                  <c:v>48.570787434091656</c:v>
                </c:pt>
                <c:pt idx="134">
                  <c:v>49.631428932571204</c:v>
                </c:pt>
                <c:pt idx="135">
                  <c:v>51.752878132322451</c:v>
                </c:pt>
                <c:pt idx="136">
                  <c:v>53.874528547517926</c:v>
                </c:pt>
                <c:pt idx="137">
                  <c:v>55.996358751692888</c:v>
                </c:pt>
                <c:pt idx="138">
                  <c:v>58.118350256238088</c:v>
                </c:pt>
                <c:pt idx="139">
                  <c:v>60.240487023563617</c:v>
                </c:pt>
                <c:pt idx="140">
                  <c:v>62.362755073966056</c:v>
                </c:pt>
                <c:pt idx="141">
                  <c:v>64.485142165812277</c:v>
                </c:pt>
                <c:pt idx="142">
                  <c:v>66.607637533568081</c:v>
                </c:pt>
                <c:pt idx="143">
                  <c:v>68.730231671823546</c:v>
                </c:pt>
                <c:pt idx="144">
                  <c:v>70.428372403603589</c:v>
                </c:pt>
                <c:pt idx="145">
                  <c:v>70.428372403603589</c:v>
                </c:pt>
              </c:numCache>
            </c:numRef>
          </c:xVal>
          <c:yVal>
            <c:numRef>
              <c:f>Ver130kHz!$I$214:$I$359</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22.026757883358133</c:v>
                </c:pt>
                <c:pt idx="57">
                  <c:v>22.303606436933268</c:v>
                </c:pt>
                <c:pt idx="58">
                  <c:v>22.58750284716422</c:v>
                </c:pt>
                <c:pt idx="59">
                  <c:v>22.878719714535098</c:v>
                </c:pt>
                <c:pt idx="60">
                  <c:v>23.177543881517952</c:v>
                </c:pt>
                <c:pt idx="61">
                  <c:v>23.48427737497089</c:v>
                </c:pt>
                <c:pt idx="62">
                  <c:v>23.799238424370419</c:v>
                </c:pt>
                <c:pt idx="63">
                  <c:v>24.122762563094199</c:v>
                </c:pt>
                <c:pt idx="64">
                  <c:v>24.455203820765959</c:v>
                </c:pt>
                <c:pt idx="65">
                  <c:v>24.796936015569976</c:v>
                </c:pt>
                <c:pt idx="66">
                  <c:v>25.148354156452349</c:v>
                </c:pt>
                <c:pt idx="67">
                  <c:v>25.509875966266939</c:v>
                </c:pt>
                <c:pt idx="68">
                  <c:v>25.881943538213928</c:v>
                </c:pt>
                <c:pt idx="69">
                  <c:v>26.265025139381205</c:v>
                </c:pt>
                <c:pt idx="70">
                  <c:v>26.659617176858553</c:v>
                </c:pt>
                <c:pt idx="71">
                  <c:v>27.066246343782272</c:v>
                </c:pt>
                <c:pt idx="72">
                  <c:v>27.485471964818597</c:v>
                </c:pt>
                <c:pt idx="73">
                  <c:v>27.917888563049853</c:v>
                </c:pt>
                <c:pt idx="74">
                  <c:v>28.364128673035488</c:v>
                </c:pt>
                <c:pt idx="75">
                  <c:v>28.824865928039575</c:v>
                </c:pt>
                <c:pt idx="76">
                  <c:v>29.300818453113759</c:v>
                </c:pt>
                <c:pt idx="77">
                  <c:v>29.792752599980972</c:v>
                </c:pt>
                <c:pt idx="78">
                  <c:v>30.301487064575266</c:v>
                </c:pt>
                <c:pt idx="79">
                  <c:v>30.82789743377182</c:v>
                </c:pt>
                <c:pt idx="80">
                  <c:v>31.372921214422043</c:v>
                </c:pt>
                <c:pt idx="81">
                  <c:v>31.937563405456757</c:v>
                </c:pt>
                <c:pt idx="82">
                  <c:v>32.522902682729509</c:v>
                </c:pt>
                <c:pt idx="83">
                  <c:v>33.130098276678069</c:v>
                </c:pt>
                <c:pt idx="84">
                  <c:v>33.76039763506995</c:v>
                </c:pt>
                <c:pt idx="85">
                  <c:v>34.415144977413249</c:v>
                </c:pt>
                <c:pt idx="86">
                  <c:v>35.095790864477152</c:v>
                </c:pt>
                <c:pt idx="87">
                  <c:v>35.803902926292089</c:v>
                </c:pt>
                <c:pt idx="88">
                  <c:v>36.54117791561751</c:v>
                </c:pt>
                <c:pt idx="89">
                  <c:v>37.309455281952879</c:v>
                </c:pt>
                <c:pt idx="90">
                  <c:v>38.11073249468371</c:v>
                </c:pt>
                <c:pt idx="91">
                  <c:v>38.947182384091214</c:v>
                </c:pt>
                <c:pt idx="92">
                  <c:v>39.821172817197386</c:v>
                </c:pt>
                <c:pt idx="93">
                  <c:v>40.735289083627144</c:v>
                </c:pt>
                <c:pt idx="94">
                  <c:v>41.692359437188173</c:v>
                </c:pt>
                <c:pt idx="95">
                  <c:v>42.695484324657897</c:v>
                </c:pt>
                <c:pt idx="96">
                  <c:v>43.748069938090964</c:v>
                </c:pt>
                <c:pt idx="97">
                  <c:v>44.853866855630855</c:v>
                </c:pt>
                <c:pt idx="98">
                  <c:v>46.017014694508909</c:v>
                </c:pt>
                <c:pt idx="99">
                  <c:v>47.242093896639055</c:v>
                </c:pt>
                <c:pt idx="100">
                  <c:v>48.534186012366021</c:v>
                </c:pt>
                <c:pt idx="101">
                  <c:v>49.8989441551144</c:v>
                </c:pt>
                <c:pt idx="102">
                  <c:v>51.342675686870059</c:v>
                </c:pt>
                <c:pt idx="103">
                  <c:v>52.872439685431154</c:v>
                </c:pt>
                <c:pt idx="104">
                  <c:v>54.496162371086768</c:v>
                </c:pt>
                <c:pt idx="105">
                  <c:v>56.222774475805288</c:v>
                </c:pt>
                <c:pt idx="106">
                  <c:v>58.062375580623716</c:v>
                </c:pt>
                <c:pt idx="107">
                  <c:v>60.026431806946903</c:v>
                </c:pt>
                <c:pt idx="108">
                  <c:v>62.128015036023768</c:v>
                </c:pt>
                <c:pt idx="109">
                  <c:v>64.38209420344738</c:v>
                </c:pt>
                <c:pt idx="110">
                  <c:v>66.805892391987754</c:v>
                </c:pt>
                <c:pt idx="111">
                  <c:v>69.419327740896691</c:v>
                </c:pt>
                <c:pt idx="112">
                  <c:v>72.245562058330648</c:v>
                </c:pt>
                <c:pt idx="113">
                  <c:v>75.311689133599103</c:v>
                </c:pt>
                <c:pt idx="114">
                  <c:v>78.649606091048369</c:v>
                </c:pt>
                <c:pt idx="115">
                  <c:v>82.297127207845165</c:v>
                </c:pt>
                <c:pt idx="116">
                  <c:v>86.299422736634369</c:v>
                </c:pt>
                <c:pt idx="117">
                  <c:v>89.518920925762714</c:v>
                </c:pt>
                <c:pt idx="118">
                  <c:v>89.085896131658984</c:v>
                </c:pt>
                <c:pt idx="119">
                  <c:v>88.657040462987851</c:v>
                </c:pt>
                <c:pt idx="120">
                  <c:v>88.232293998237978</c:v>
                </c:pt>
                <c:pt idx="121">
                  <c:v>87.811597958732975</c:v>
                </c:pt>
                <c:pt idx="122">
                  <c:v>87.39489468151568</c:v>
                </c:pt>
                <c:pt idx="123">
                  <c:v>86.982127592999944</c:v>
                </c:pt>
                <c:pt idx="124">
                  <c:v>86.168180981676343</c:v>
                </c:pt>
                <c:pt idx="125">
                  <c:v>85.369326368305678</c:v>
                </c:pt>
                <c:pt idx="126">
                  <c:v>84.585147860402785</c:v>
                </c:pt>
                <c:pt idx="127">
                  <c:v>83.815244707475586</c:v>
                </c:pt>
                <c:pt idx="128">
                  <c:v>83.05923061812112</c:v>
                </c:pt>
                <c:pt idx="129">
                  <c:v>81.227548000407907</c:v>
                </c:pt>
                <c:pt idx="130">
                  <c:v>79.474909442515596</c:v>
                </c:pt>
                <c:pt idx="131">
                  <c:v>77.796306435566578</c:v>
                </c:pt>
                <c:pt idx="132">
                  <c:v>76.187144860538183</c:v>
                </c:pt>
                <c:pt idx="133">
                  <c:v>74.643202999955662</c:v>
                </c:pt>
                <c:pt idx="134">
                  <c:v>73.160594553568487</c:v>
                </c:pt>
                <c:pt idx="135">
                  <c:v>70.36531755713554</c:v>
                </c:pt>
                <c:pt idx="136">
                  <c:v>67.775780375869957</c:v>
                </c:pt>
                <c:pt idx="137">
                  <c:v>65.370074766532056</c:v>
                </c:pt>
                <c:pt idx="138">
                  <c:v>63.129296399687099</c:v>
                </c:pt>
                <c:pt idx="139">
                  <c:v>61.037047076823157</c:v>
                </c:pt>
                <c:pt idx="140">
                  <c:v>59.079032758068017</c:v>
                </c:pt>
                <c:pt idx="141">
                  <c:v>57.242736554591019</c:v>
                </c:pt>
                <c:pt idx="142">
                  <c:v>55.517150866985418</c:v>
                </c:pt>
                <c:pt idx="143">
                  <c:v>53.892556554139951</c:v>
                </c:pt>
                <c:pt idx="144">
                  <c:v>52.659773288229744</c:v>
                </c:pt>
                <c:pt idx="145">
                  <c:v>52.659773288229744</c:v>
                </c:pt>
              </c:numCache>
            </c:numRef>
          </c:yVal>
          <c:smooth val="1"/>
        </c:ser>
        <c:ser>
          <c:idx val="0"/>
          <c:order val="2"/>
          <c:tx>
            <c:strRef>
              <c:f>Ver130kHz!$K$212</c:f>
              <c:strCache>
                <c:ptCount val="1"/>
                <c:pt idx="0">
                  <c:v>Peak at 90VAC </c:v>
                </c:pt>
              </c:strCache>
            </c:strRef>
          </c:tx>
          <c:spPr>
            <a:ln>
              <a:solidFill>
                <a:srgbClr val="CC00CC"/>
              </a:solidFill>
              <a:prstDash val="solid"/>
            </a:ln>
          </c:spPr>
          <c:marker>
            <c:symbol val="none"/>
          </c:marker>
          <c:xVal>
            <c:numRef>
              <c:f>Ver130kHz!$N$214:$N$359</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4.6659984042518658</c:v>
                </c:pt>
                <c:pt idx="57">
                  <c:v>4.7946270126310253</c:v>
                </c:pt>
                <c:pt idx="58">
                  <c:v>4.9270512263163555</c:v>
                </c:pt>
                <c:pt idx="59">
                  <c:v>5.0634178536063903</c:v>
                </c:pt>
                <c:pt idx="60">
                  <c:v>5.2038813727861086</c:v>
                </c:pt>
                <c:pt idx="61">
                  <c:v>5.3486044396530383</c:v>
                </c:pt>
                <c:pt idx="62">
                  <c:v>5.4977584358837088</c:v>
                </c:pt>
                <c:pt idx="63">
                  <c:v>5.6515240621266782</c:v>
                </c:pt>
                <c:pt idx="64">
                  <c:v>5.8100919801368613</c:v>
                </c:pt>
                <c:pt idx="65">
                  <c:v>5.9736635087482002</c:v>
                </c:pt>
                <c:pt idx="66">
                  <c:v>6.1424513790256245</c:v>
                </c:pt>
                <c:pt idx="67">
                  <c:v>6.3166805545513975</c:v>
                </c:pt>
                <c:pt idx="68">
                  <c:v>6.4965891234959194</c:v>
                </c:pt>
                <c:pt idx="69">
                  <c:v>6.6824292699103633</c:v>
                </c:pt>
                <c:pt idx="70">
                  <c:v>6.8744683325724552</c:v>
                </c:pt>
                <c:pt idx="71">
                  <c:v>7.0729899607333753</c:v>
                </c:pt>
                <c:pt idx="72">
                  <c:v>7.278295377271907</c:v>
                </c:pt>
                <c:pt idx="73">
                  <c:v>7.4907047610844222</c:v>
                </c:pt>
                <c:pt idx="74">
                  <c:v>7.7105587620517904</c:v>
                </c:pt>
                <c:pt idx="75">
                  <c:v>7.9382201636578982</c:v>
                </c:pt>
                <c:pt idx="76">
                  <c:v>8.1740757103258552</c:v>
                </c:pt>
                <c:pt idx="77">
                  <c:v>8.4185381188301402</c:v>
                </c:pt>
                <c:pt idx="78">
                  <c:v>8.6720482957872136</c:v>
                </c:pt>
                <c:pt idx="79">
                  <c:v>8.935077786285424</c:v>
                </c:pt>
                <c:pt idx="80">
                  <c:v>9.2081314822590965</c:v>
                </c:pt>
                <c:pt idx="81">
                  <c:v>9.4917506233305389</c:v>
                </c:pt>
                <c:pt idx="82">
                  <c:v>9.7865161276417272</c:v>
                </c:pt>
                <c:pt idx="83">
                  <c:v>10.093052295801424</c:v>
                </c:pt>
                <c:pt idx="84">
                  <c:v>10.412030937637311</c:v>
                </c:pt>
                <c:pt idx="85">
                  <c:v>10.744175979152253</c:v>
                </c:pt>
                <c:pt idx="86">
                  <c:v>11.090268616165266</c:v>
                </c:pt>
                <c:pt idx="87">
                  <c:v>11.451153091848713</c:v>
                </c:pt>
                <c:pt idx="88">
                  <c:v>11.827743188092837</c:v>
                </c:pt>
                <c:pt idx="89">
                  <c:v>12.221029535754868</c:v>
                </c:pt>
                <c:pt idx="90">
                  <c:v>12.632087866900424</c:v>
                </c:pt>
                <c:pt idx="91">
                  <c:v>13.062088353760236</c:v>
                </c:pt>
                <c:pt idx="92">
                  <c:v>13.512306205106551</c:v>
                </c:pt>
                <c:pt idx="93">
                  <c:v>13.984133722102321</c:v>
                </c:pt>
                <c:pt idx="94">
                  <c:v>14.479094053654226</c:v>
                </c:pt>
                <c:pt idx="95">
                  <c:v>14.998856937501628</c:v>
                </c:pt>
                <c:pt idx="96">
                  <c:v>15.545256769726608</c:v>
                </c:pt>
                <c:pt idx="97">
                  <c:v>16.120313414664913</c:v>
                </c:pt>
                <c:pt idx="98">
                  <c:v>16.726256252665241</c:v>
                </c:pt>
                <c:pt idx="99">
                  <c:v>17.365552069089734</c:v>
                </c:pt>
                <c:pt idx="100">
                  <c:v>18.040937519973536</c:v>
                </c:pt>
                <c:pt idx="101">
                  <c:v>18.755457075197171</c:v>
                </c:pt>
                <c:pt idx="102">
                  <c:v>19.512507548542541</c:v>
                </c:pt>
                <c:pt idx="103">
                  <c:v>20.315890588433557</c:v>
                </c:pt>
                <c:pt idx="104">
                  <c:v>21.169874840680745</c:v>
                </c:pt>
                <c:pt idx="105">
                  <c:v>22.079269928308882</c:v>
                </c:pt>
                <c:pt idx="106">
                  <c:v>23.049514955040749</c:v>
                </c:pt>
                <c:pt idx="107">
                  <c:v>24.086784971444292</c:v>
                </c:pt>
                <c:pt idx="108">
                  <c:v>25.198119805974194</c:v>
                </c:pt>
                <c:pt idx="109">
                  <c:v>26.391580940885202</c:v>
                </c:pt>
                <c:pt idx="110">
                  <c:v>27.676443823670464</c:v>
                </c:pt>
                <c:pt idx="111">
                  <c:v>29.063435317648199</c:v>
                </c:pt>
                <c:pt idx="112">
                  <c:v>30.565029155788942</c:v>
                </c:pt>
                <c:pt idx="113">
                  <c:v>32.195816629529105</c:v>
                </c:pt>
                <c:pt idx="114">
                  <c:v>33.972975854192697</c:v>
                </c:pt>
                <c:pt idx="115">
                  <c:v>35.916871612730354</c:v>
                </c:pt>
                <c:pt idx="116">
                  <c:v>38.051830230008299</c:v>
                </c:pt>
                <c:pt idx="117">
                  <c:v>40.407152108448763</c:v>
                </c:pt>
                <c:pt idx="118">
                  <c:v>43.018451548244869</c:v>
                </c:pt>
                <c:pt idx="119">
                  <c:v>45.929454300236202</c:v>
                </c:pt>
                <c:pt idx="120">
                  <c:v>49.194446308481503</c:v>
                </c:pt>
                <c:pt idx="121">
                  <c:v>52.881666547486333</c:v>
                </c:pt>
                <c:pt idx="122">
                  <c:v>57.078097768401499</c:v>
                </c:pt>
                <c:pt idx="123">
                  <c:v>59.748073234536349</c:v>
                </c:pt>
                <c:pt idx="124">
                  <c:v>60.375400734703412</c:v>
                </c:pt>
                <c:pt idx="125">
                  <c:v>61.002773447264197</c:v>
                </c:pt>
                <c:pt idx="126">
                  <c:v>61.630190151209476</c:v>
                </c:pt>
                <c:pt idx="127">
                  <c:v>62.257649669104048</c:v>
                </c:pt>
                <c:pt idx="128">
                  <c:v>62.885150865160014</c:v>
                </c:pt>
                <c:pt idx="129">
                  <c:v>64.454079098317564</c:v>
                </c:pt>
                <c:pt idx="130">
                  <c:v>66.023244958410274</c:v>
                </c:pt>
                <c:pt idx="131">
                  <c:v>67.59263366594341</c:v>
                </c:pt>
                <c:pt idx="132">
                  <c:v>69.162231642166233</c:v>
                </c:pt>
                <c:pt idx="133">
                  <c:v>70.732026389558342</c:v>
                </c:pt>
                <c:pt idx="134">
                  <c:v>72.302006386311461</c:v>
                </c:pt>
                <c:pt idx="135">
                  <c:v>75.442480369371765</c:v>
                </c:pt>
                <c:pt idx="136">
                  <c:v>78.58357763452166</c:v>
                </c:pt>
                <c:pt idx="137">
                  <c:v>81.725232841873492</c:v>
                </c:pt>
                <c:pt idx="138">
                  <c:v>84.86738947611893</c:v>
                </c:pt>
                <c:pt idx="139">
                  <c:v>88.009998405415487</c:v>
                </c:pt>
                <c:pt idx="140">
                  <c:v>91.153016713752933</c:v>
                </c:pt>
                <c:pt idx="141">
                  <c:v>94.296406748108296</c:v>
                </c:pt>
                <c:pt idx="142">
                  <c:v>97.440135335664607</c:v>
                </c:pt>
                <c:pt idx="143">
                  <c:v>100.58417313670448</c:v>
                </c:pt>
                <c:pt idx="144">
                  <c:v>103.09960841036295</c:v>
                </c:pt>
                <c:pt idx="145">
                  <c:v>103.09960841036295</c:v>
                </c:pt>
              </c:numCache>
            </c:numRef>
          </c:xVal>
          <c:yVal>
            <c:numRef>
              <c:f>Ver130kHz!$M$214:$M$359</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22.026757883358133</c:v>
                </c:pt>
                <c:pt idx="57">
                  <c:v>22.303606436933268</c:v>
                </c:pt>
                <c:pt idx="58">
                  <c:v>22.58750284716422</c:v>
                </c:pt>
                <c:pt idx="59">
                  <c:v>22.878719714535098</c:v>
                </c:pt>
                <c:pt idx="60">
                  <c:v>23.177543881517952</c:v>
                </c:pt>
                <c:pt idx="61">
                  <c:v>23.48427737497089</c:v>
                </c:pt>
                <c:pt idx="62">
                  <c:v>23.799238424370419</c:v>
                </c:pt>
                <c:pt idx="63">
                  <c:v>24.122762563094199</c:v>
                </c:pt>
                <c:pt idx="64">
                  <c:v>24.455203820765959</c:v>
                </c:pt>
                <c:pt idx="65">
                  <c:v>24.796936015569976</c:v>
                </c:pt>
                <c:pt idx="66">
                  <c:v>25.148354156452349</c:v>
                </c:pt>
                <c:pt idx="67">
                  <c:v>25.509875966266939</c:v>
                </c:pt>
                <c:pt idx="68">
                  <c:v>25.881943538213928</c:v>
                </c:pt>
                <c:pt idx="69">
                  <c:v>26.265025139381205</c:v>
                </c:pt>
                <c:pt idx="70">
                  <c:v>26.659617176858553</c:v>
                </c:pt>
                <c:pt idx="71">
                  <c:v>27.066246343782272</c:v>
                </c:pt>
                <c:pt idx="72">
                  <c:v>27.485471964818597</c:v>
                </c:pt>
                <c:pt idx="73">
                  <c:v>27.917888563049853</c:v>
                </c:pt>
                <c:pt idx="74">
                  <c:v>28.364128673035488</c:v>
                </c:pt>
                <c:pt idx="75">
                  <c:v>28.824865928039575</c:v>
                </c:pt>
                <c:pt idx="76">
                  <c:v>29.300818453113759</c:v>
                </c:pt>
                <c:pt idx="77">
                  <c:v>29.792752599980972</c:v>
                </c:pt>
                <c:pt idx="78">
                  <c:v>30.301487064575266</c:v>
                </c:pt>
                <c:pt idx="79">
                  <c:v>30.82789743377182</c:v>
                </c:pt>
                <c:pt idx="80">
                  <c:v>31.372921214422043</c:v>
                </c:pt>
                <c:pt idx="81">
                  <c:v>31.937563405456757</c:v>
                </c:pt>
                <c:pt idx="82">
                  <c:v>32.522902682729509</c:v>
                </c:pt>
                <c:pt idx="83">
                  <c:v>33.130098276678069</c:v>
                </c:pt>
                <c:pt idx="84">
                  <c:v>33.76039763506995</c:v>
                </c:pt>
                <c:pt idx="85">
                  <c:v>34.415144977413249</c:v>
                </c:pt>
                <c:pt idx="86">
                  <c:v>35.095790864477152</c:v>
                </c:pt>
                <c:pt idx="87">
                  <c:v>35.803902926292089</c:v>
                </c:pt>
                <c:pt idx="88">
                  <c:v>36.54117791561751</c:v>
                </c:pt>
                <c:pt idx="89">
                  <c:v>37.309455281952879</c:v>
                </c:pt>
                <c:pt idx="90">
                  <c:v>38.11073249468371</c:v>
                </c:pt>
                <c:pt idx="91">
                  <c:v>38.947182384091214</c:v>
                </c:pt>
                <c:pt idx="92">
                  <c:v>39.821172817197386</c:v>
                </c:pt>
                <c:pt idx="93">
                  <c:v>40.735289083627144</c:v>
                </c:pt>
                <c:pt idx="94">
                  <c:v>41.692359437188173</c:v>
                </c:pt>
                <c:pt idx="95">
                  <c:v>42.695484324657897</c:v>
                </c:pt>
                <c:pt idx="96">
                  <c:v>43.748069938090964</c:v>
                </c:pt>
                <c:pt idx="97">
                  <c:v>44.853866855630855</c:v>
                </c:pt>
                <c:pt idx="98">
                  <c:v>46.017014694508909</c:v>
                </c:pt>
                <c:pt idx="99">
                  <c:v>47.242093896639055</c:v>
                </c:pt>
                <c:pt idx="100">
                  <c:v>48.534186012366021</c:v>
                </c:pt>
                <c:pt idx="101">
                  <c:v>49.8989441551144</c:v>
                </c:pt>
                <c:pt idx="102">
                  <c:v>51.342675686870059</c:v>
                </c:pt>
                <c:pt idx="103">
                  <c:v>52.872439685431154</c:v>
                </c:pt>
                <c:pt idx="104">
                  <c:v>54.496162371086768</c:v>
                </c:pt>
                <c:pt idx="105">
                  <c:v>56.222774475805288</c:v>
                </c:pt>
                <c:pt idx="106">
                  <c:v>58.062375580623716</c:v>
                </c:pt>
                <c:pt idx="107">
                  <c:v>60.026431806946903</c:v>
                </c:pt>
                <c:pt idx="108">
                  <c:v>62.128015036023768</c:v>
                </c:pt>
                <c:pt idx="109">
                  <c:v>64.38209420344738</c:v>
                </c:pt>
                <c:pt idx="110">
                  <c:v>66.805892391987754</c:v>
                </c:pt>
                <c:pt idx="111">
                  <c:v>69.419327740896691</c:v>
                </c:pt>
                <c:pt idx="112">
                  <c:v>72.245562058330648</c:v>
                </c:pt>
                <c:pt idx="113">
                  <c:v>75.311689133599103</c:v>
                </c:pt>
                <c:pt idx="114">
                  <c:v>78.649606091048369</c:v>
                </c:pt>
                <c:pt idx="115">
                  <c:v>82.297127207845165</c:v>
                </c:pt>
                <c:pt idx="116">
                  <c:v>86.299422736634369</c:v>
                </c:pt>
                <c:pt idx="117">
                  <c:v>90.710899028859785</c:v>
                </c:pt>
                <c:pt idx="118">
                  <c:v>95.597686375321189</c:v>
                </c:pt>
                <c:pt idx="119">
                  <c:v>101.04097678604779</c:v>
                </c:pt>
                <c:pt idx="120">
                  <c:v>107.14157092952043</c:v>
                </c:pt>
                <c:pt idx="121">
                  <c:v>114.02617811080658</c:v>
                </c:pt>
                <c:pt idx="122">
                  <c:v>121.85631195215844</c:v>
                </c:pt>
                <c:pt idx="123">
                  <c:v>126.29987943500858</c:v>
                </c:pt>
                <c:pt idx="124">
                  <c:v>125.14207976881799</c:v>
                </c:pt>
                <c:pt idx="125">
                  <c:v>124.00531453658985</c:v>
                </c:pt>
                <c:pt idx="126">
                  <c:v>122.88901568086678</c:v>
                </c:pt>
                <c:pt idx="127">
                  <c:v>121.79263541636864</c:v>
                </c:pt>
                <c:pt idx="128">
                  <c:v>120.7156453336773</c:v>
                </c:pt>
                <c:pt idx="129">
                  <c:v>118.10469949044939</c:v>
                </c:pt>
                <c:pt idx="130">
                  <c:v>115.60430625604999</c:v>
                </c:pt>
                <c:pt idx="131">
                  <c:v>113.20758967717781</c:v>
                </c:pt>
                <c:pt idx="132">
                  <c:v>110.90823242996969</c:v>
                </c:pt>
                <c:pt idx="133">
                  <c:v>108.70042021777573</c:v>
                </c:pt>
                <c:pt idx="134">
                  <c:v>106.57879268043909</c:v>
                </c:pt>
                <c:pt idx="135">
                  <c:v>102.57466405860323</c:v>
                </c:pt>
                <c:pt idx="136">
                  <c:v>98.860508713497509</c:v>
                </c:pt>
                <c:pt idx="137">
                  <c:v>95.405928176070901</c:v>
                </c:pt>
                <c:pt idx="138">
                  <c:v>92.184629489384747</c:v>
                </c:pt>
                <c:pt idx="139">
                  <c:v>89.173754750708113</c:v>
                </c:pt>
                <c:pt idx="140">
                  <c:v>86.353337886392524</c:v>
                </c:pt>
                <c:pt idx="141">
                  <c:v>83.705861354031953</c:v>
                </c:pt>
                <c:pt idx="142">
                  <c:v>81.215891964390821</c:v>
                </c:pt>
                <c:pt idx="143">
                  <c:v>78.869779824174827</c:v>
                </c:pt>
                <c:pt idx="144">
                  <c:v>77.08827876756645</c:v>
                </c:pt>
                <c:pt idx="145">
                  <c:v>77.08827876756645</c:v>
                </c:pt>
              </c:numCache>
            </c:numRef>
          </c:yVal>
          <c:smooth val="1"/>
        </c:ser>
        <c:ser>
          <c:idx val="1"/>
          <c:order val="3"/>
          <c:tx>
            <c:strRef>
              <c:f>Ver130kHz!$O$212</c:f>
              <c:strCache>
                <c:ptCount val="1"/>
                <c:pt idx="0">
                  <c:v>Peak at 100VAC </c:v>
                </c:pt>
              </c:strCache>
            </c:strRef>
          </c:tx>
          <c:spPr>
            <a:ln>
              <a:solidFill>
                <a:srgbClr val="CC0000"/>
              </a:solidFill>
              <a:prstDash val="solid"/>
            </a:ln>
          </c:spPr>
          <c:marker>
            <c:symbol val="none"/>
          </c:marker>
          <c:xVal>
            <c:numRef>
              <c:f>Ver130kHz!$R$214:$R$359</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4.6659984042518658</c:v>
                </c:pt>
                <c:pt idx="57">
                  <c:v>4.7946270126310253</c:v>
                </c:pt>
                <c:pt idx="58">
                  <c:v>4.9270512263163555</c:v>
                </c:pt>
                <c:pt idx="59">
                  <c:v>5.0634178536063903</c:v>
                </c:pt>
                <c:pt idx="60">
                  <c:v>5.2038813727861086</c:v>
                </c:pt>
                <c:pt idx="61">
                  <c:v>5.3486044396530383</c:v>
                </c:pt>
                <c:pt idx="62">
                  <c:v>5.4977584358837088</c:v>
                </c:pt>
                <c:pt idx="63">
                  <c:v>5.6515240621266782</c:v>
                </c:pt>
                <c:pt idx="64">
                  <c:v>5.8100919801368613</c:v>
                </c:pt>
                <c:pt idx="65">
                  <c:v>5.9736635087482002</c:v>
                </c:pt>
                <c:pt idx="66">
                  <c:v>6.1424513790256245</c:v>
                </c:pt>
                <c:pt idx="67">
                  <c:v>6.3166805545513975</c:v>
                </c:pt>
                <c:pt idx="68">
                  <c:v>6.4965891234959194</c:v>
                </c:pt>
                <c:pt idx="69">
                  <c:v>6.6824292699103633</c:v>
                </c:pt>
                <c:pt idx="70">
                  <c:v>6.8744683325724552</c:v>
                </c:pt>
                <c:pt idx="71">
                  <c:v>7.0729899607333753</c:v>
                </c:pt>
                <c:pt idx="72">
                  <c:v>7.278295377271907</c:v>
                </c:pt>
                <c:pt idx="73">
                  <c:v>7.4907047610844222</c:v>
                </c:pt>
                <c:pt idx="74">
                  <c:v>7.7105587620517904</c:v>
                </c:pt>
                <c:pt idx="75">
                  <c:v>7.9382201636578982</c:v>
                </c:pt>
                <c:pt idx="76">
                  <c:v>8.1740757103258552</c:v>
                </c:pt>
                <c:pt idx="77">
                  <c:v>8.4185381188301402</c:v>
                </c:pt>
                <c:pt idx="78">
                  <c:v>8.6720482957872136</c:v>
                </c:pt>
                <c:pt idx="79">
                  <c:v>8.935077786285424</c:v>
                </c:pt>
                <c:pt idx="80">
                  <c:v>9.2081314822590965</c:v>
                </c:pt>
                <c:pt idx="81">
                  <c:v>9.4917506233305389</c:v>
                </c:pt>
                <c:pt idx="82">
                  <c:v>9.7865161276417272</c:v>
                </c:pt>
                <c:pt idx="83">
                  <c:v>10.093052295801424</c:v>
                </c:pt>
                <c:pt idx="84">
                  <c:v>10.412030937637311</c:v>
                </c:pt>
                <c:pt idx="85">
                  <c:v>10.744175979152253</c:v>
                </c:pt>
                <c:pt idx="86">
                  <c:v>11.090268616165266</c:v>
                </c:pt>
                <c:pt idx="87">
                  <c:v>11.451153091848713</c:v>
                </c:pt>
                <c:pt idx="88">
                  <c:v>11.827743188092837</c:v>
                </c:pt>
                <c:pt idx="89">
                  <c:v>12.221029535754868</c:v>
                </c:pt>
                <c:pt idx="90">
                  <c:v>12.632087866900424</c:v>
                </c:pt>
                <c:pt idx="91">
                  <c:v>13.062088353760236</c:v>
                </c:pt>
                <c:pt idx="92">
                  <c:v>13.512306205106551</c:v>
                </c:pt>
                <c:pt idx="93">
                  <c:v>13.984133722102321</c:v>
                </c:pt>
                <c:pt idx="94">
                  <c:v>14.479094053654226</c:v>
                </c:pt>
                <c:pt idx="95">
                  <c:v>14.998856937501628</c:v>
                </c:pt>
                <c:pt idx="96">
                  <c:v>15.545256769726608</c:v>
                </c:pt>
                <c:pt idx="97">
                  <c:v>16.120313414664913</c:v>
                </c:pt>
                <c:pt idx="98">
                  <c:v>16.726256252665241</c:v>
                </c:pt>
                <c:pt idx="99">
                  <c:v>17.365552069089734</c:v>
                </c:pt>
                <c:pt idx="100">
                  <c:v>18.040937519973536</c:v>
                </c:pt>
                <c:pt idx="101">
                  <c:v>18.755457075197171</c:v>
                </c:pt>
                <c:pt idx="102">
                  <c:v>19.512507548542541</c:v>
                </c:pt>
                <c:pt idx="103">
                  <c:v>20.315890588433557</c:v>
                </c:pt>
                <c:pt idx="104">
                  <c:v>21.169874840680745</c:v>
                </c:pt>
                <c:pt idx="105">
                  <c:v>22.079269928308882</c:v>
                </c:pt>
                <c:pt idx="106">
                  <c:v>23.049514955040749</c:v>
                </c:pt>
                <c:pt idx="107">
                  <c:v>24.086784971444292</c:v>
                </c:pt>
                <c:pt idx="108">
                  <c:v>25.198119805974194</c:v>
                </c:pt>
                <c:pt idx="109">
                  <c:v>26.391580940885202</c:v>
                </c:pt>
                <c:pt idx="110">
                  <c:v>27.676443823670464</c:v>
                </c:pt>
                <c:pt idx="111">
                  <c:v>29.063435317648199</c:v>
                </c:pt>
                <c:pt idx="112">
                  <c:v>30.565029155788942</c:v>
                </c:pt>
                <c:pt idx="113">
                  <c:v>32.195816629529105</c:v>
                </c:pt>
                <c:pt idx="114">
                  <c:v>33.972975854192697</c:v>
                </c:pt>
                <c:pt idx="115">
                  <c:v>35.916871612730354</c:v>
                </c:pt>
                <c:pt idx="116">
                  <c:v>38.051830230008299</c:v>
                </c:pt>
                <c:pt idx="117">
                  <c:v>40.407152108448763</c:v>
                </c:pt>
                <c:pt idx="118">
                  <c:v>43.018451548244869</c:v>
                </c:pt>
                <c:pt idx="119">
                  <c:v>45.929454300236202</c:v>
                </c:pt>
                <c:pt idx="120">
                  <c:v>49.194446308481503</c:v>
                </c:pt>
                <c:pt idx="121">
                  <c:v>52.881666547486333</c:v>
                </c:pt>
                <c:pt idx="122">
                  <c:v>57.078097768401499</c:v>
                </c:pt>
                <c:pt idx="123">
                  <c:v>61.896376656593809</c:v>
                </c:pt>
                <c:pt idx="124">
                  <c:v>63.124930938112406</c:v>
                </c:pt>
                <c:pt idx="125">
                  <c:v>64.018749921784263</c:v>
                </c:pt>
                <c:pt idx="126">
                  <c:v>64.679088892160948</c:v>
                </c:pt>
                <c:pt idx="127">
                  <c:v>65.339477350118031</c:v>
                </c:pt>
                <c:pt idx="128">
                  <c:v>65.99991398700341</c:v>
                </c:pt>
                <c:pt idx="129">
                  <c:v>67.651208181376191</c:v>
                </c:pt>
                <c:pt idx="130">
                  <c:v>69.302777146089014</c:v>
                </c:pt>
                <c:pt idx="131">
                  <c:v>70.954603842469169</c:v>
                </c:pt>
                <c:pt idx="132">
                  <c:v>72.606672612085077</c:v>
                </c:pt>
                <c:pt idx="133">
                  <c:v>74.25896903976016</c:v>
                </c:pt>
                <c:pt idx="134">
                  <c:v>75.911479832583581</c:v>
                </c:pt>
                <c:pt idx="135">
                  <c:v>79.217096322625508</c:v>
                </c:pt>
                <c:pt idx="136">
                  <c:v>82.523434402181991</c:v>
                </c:pt>
                <c:pt idx="137">
                  <c:v>85.830418615946073</c:v>
                </c:pt>
                <c:pt idx="138">
                  <c:v>89.137983674565291</c:v>
                </c:pt>
                <c:pt idx="139">
                  <c:v>92.4460727983775</c:v>
                </c:pt>
                <c:pt idx="140">
                  <c:v>95.754636374739917</c:v>
                </c:pt>
                <c:pt idx="141">
                  <c:v>99.06363086179995</c:v>
                </c:pt>
                <c:pt idx="142">
                  <c:v>102.37301788750131</c:v>
                </c:pt>
                <c:pt idx="143">
                  <c:v>105.68276350442943</c:v>
                </c:pt>
                <c:pt idx="144">
                  <c:v>108.33079781363975</c:v>
                </c:pt>
                <c:pt idx="145">
                  <c:v>108.33079781363975</c:v>
                </c:pt>
              </c:numCache>
            </c:numRef>
          </c:xVal>
          <c:yVal>
            <c:numRef>
              <c:f>Ver130kHz!$Q$214:$Q$359</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22.026757883358133</c:v>
                </c:pt>
                <c:pt idx="57">
                  <c:v>22.303606436933268</c:v>
                </c:pt>
                <c:pt idx="58">
                  <c:v>22.58750284716422</c:v>
                </c:pt>
                <c:pt idx="59">
                  <c:v>22.878719714535098</c:v>
                </c:pt>
                <c:pt idx="60">
                  <c:v>23.177543881517952</c:v>
                </c:pt>
                <c:pt idx="61">
                  <c:v>23.48427737497089</c:v>
                </c:pt>
                <c:pt idx="62">
                  <c:v>23.799238424370419</c:v>
                </c:pt>
                <c:pt idx="63">
                  <c:v>24.122762563094199</c:v>
                </c:pt>
                <c:pt idx="64">
                  <c:v>24.455203820765959</c:v>
                </c:pt>
                <c:pt idx="65">
                  <c:v>24.796936015569976</c:v>
                </c:pt>
                <c:pt idx="66">
                  <c:v>25.148354156452349</c:v>
                </c:pt>
                <c:pt idx="67">
                  <c:v>25.509875966266939</c:v>
                </c:pt>
                <c:pt idx="68">
                  <c:v>25.881943538213928</c:v>
                </c:pt>
                <c:pt idx="69">
                  <c:v>26.265025139381205</c:v>
                </c:pt>
                <c:pt idx="70">
                  <c:v>26.659617176858553</c:v>
                </c:pt>
                <c:pt idx="71">
                  <c:v>27.066246343782272</c:v>
                </c:pt>
                <c:pt idx="72">
                  <c:v>27.485471964818597</c:v>
                </c:pt>
                <c:pt idx="73">
                  <c:v>27.917888563049853</c:v>
                </c:pt>
                <c:pt idx="74">
                  <c:v>28.364128673035488</c:v>
                </c:pt>
                <c:pt idx="75">
                  <c:v>28.824865928039575</c:v>
                </c:pt>
                <c:pt idx="76">
                  <c:v>29.300818453113759</c:v>
                </c:pt>
                <c:pt idx="77">
                  <c:v>29.792752599980972</c:v>
                </c:pt>
                <c:pt idx="78">
                  <c:v>30.301487064575266</c:v>
                </c:pt>
                <c:pt idx="79">
                  <c:v>30.82789743377182</c:v>
                </c:pt>
                <c:pt idx="80">
                  <c:v>31.372921214422043</c:v>
                </c:pt>
                <c:pt idx="81">
                  <c:v>31.937563405456757</c:v>
                </c:pt>
                <c:pt idx="82">
                  <c:v>32.522902682729509</c:v>
                </c:pt>
                <c:pt idx="83">
                  <c:v>33.130098276678069</c:v>
                </c:pt>
                <c:pt idx="84">
                  <c:v>33.76039763506995</c:v>
                </c:pt>
                <c:pt idx="85">
                  <c:v>34.415144977413249</c:v>
                </c:pt>
                <c:pt idx="86">
                  <c:v>35.095790864477152</c:v>
                </c:pt>
                <c:pt idx="87">
                  <c:v>35.803902926292089</c:v>
                </c:pt>
                <c:pt idx="88">
                  <c:v>36.54117791561751</c:v>
                </c:pt>
                <c:pt idx="89">
                  <c:v>37.309455281952879</c:v>
                </c:pt>
                <c:pt idx="90">
                  <c:v>38.11073249468371</c:v>
                </c:pt>
                <c:pt idx="91">
                  <c:v>38.947182384091214</c:v>
                </c:pt>
                <c:pt idx="92">
                  <c:v>39.821172817197386</c:v>
                </c:pt>
                <c:pt idx="93">
                  <c:v>40.735289083627144</c:v>
                </c:pt>
                <c:pt idx="94">
                  <c:v>41.692359437188173</c:v>
                </c:pt>
                <c:pt idx="95">
                  <c:v>42.695484324657897</c:v>
                </c:pt>
                <c:pt idx="96">
                  <c:v>43.748069938090964</c:v>
                </c:pt>
                <c:pt idx="97">
                  <c:v>44.853866855630855</c:v>
                </c:pt>
                <c:pt idx="98">
                  <c:v>46.017014694508909</c:v>
                </c:pt>
                <c:pt idx="99">
                  <c:v>47.242093896639055</c:v>
                </c:pt>
                <c:pt idx="100">
                  <c:v>48.534186012366021</c:v>
                </c:pt>
                <c:pt idx="101">
                  <c:v>49.8989441551144</c:v>
                </c:pt>
                <c:pt idx="102">
                  <c:v>51.342675686870059</c:v>
                </c:pt>
                <c:pt idx="103">
                  <c:v>52.872439685431154</c:v>
                </c:pt>
                <c:pt idx="104">
                  <c:v>54.496162371086768</c:v>
                </c:pt>
                <c:pt idx="105">
                  <c:v>56.222774475805288</c:v>
                </c:pt>
                <c:pt idx="106">
                  <c:v>58.062375580623716</c:v>
                </c:pt>
                <c:pt idx="107">
                  <c:v>60.026431806946903</c:v>
                </c:pt>
                <c:pt idx="108">
                  <c:v>62.128015036023768</c:v>
                </c:pt>
                <c:pt idx="109">
                  <c:v>64.38209420344738</c:v>
                </c:pt>
                <c:pt idx="110">
                  <c:v>66.805892391987754</c:v>
                </c:pt>
                <c:pt idx="111">
                  <c:v>69.419327740896691</c:v>
                </c:pt>
                <c:pt idx="112">
                  <c:v>72.245562058330648</c:v>
                </c:pt>
                <c:pt idx="113">
                  <c:v>75.311689133599103</c:v>
                </c:pt>
                <c:pt idx="114">
                  <c:v>78.649606091048369</c:v>
                </c:pt>
                <c:pt idx="115">
                  <c:v>82.297127207845165</c:v>
                </c:pt>
                <c:pt idx="116">
                  <c:v>86.299422736634369</c:v>
                </c:pt>
                <c:pt idx="117">
                  <c:v>90.710899028859785</c:v>
                </c:pt>
                <c:pt idx="118">
                  <c:v>95.597686375321189</c:v>
                </c:pt>
                <c:pt idx="119">
                  <c:v>101.04097678604779</c:v>
                </c:pt>
                <c:pt idx="120">
                  <c:v>107.14157092952043</c:v>
                </c:pt>
                <c:pt idx="121">
                  <c:v>114.02617811080658</c:v>
                </c:pt>
                <c:pt idx="122">
                  <c:v>121.85631195215844</c:v>
                </c:pt>
                <c:pt idx="123">
                  <c:v>130.8411214953272</c:v>
                </c:pt>
                <c:pt idx="124">
                  <c:v>130.84112149532709</c:v>
                </c:pt>
                <c:pt idx="125">
                  <c:v>130.1361359767188</c:v>
                </c:pt>
                <c:pt idx="126">
                  <c:v>128.96844143416874</c:v>
                </c:pt>
                <c:pt idx="127">
                  <c:v>127.82151567710352</c:v>
                </c:pt>
                <c:pt idx="128">
                  <c:v>126.69480949472219</c:v>
                </c:pt>
                <c:pt idx="129">
                  <c:v>123.9630714487367</c:v>
                </c:pt>
                <c:pt idx="130">
                  <c:v>121.34664811822002</c:v>
                </c:pt>
                <c:pt idx="131">
                  <c:v>118.83838876886647</c:v>
                </c:pt>
                <c:pt idx="132">
                  <c:v>116.43172192145344</c:v>
                </c:pt>
                <c:pt idx="133">
                  <c:v>114.12059786190906</c:v>
                </c:pt>
                <c:pt idx="134">
                  <c:v>111.89943786503271</c:v>
                </c:pt>
                <c:pt idx="135">
                  <c:v>107.70678539739787</c:v>
                </c:pt>
                <c:pt idx="136">
                  <c:v>103.81696725144667</c:v>
                </c:pt>
                <c:pt idx="137">
                  <c:v>100.19831659138934</c:v>
                </c:pt>
                <c:pt idx="138">
                  <c:v>96.823432995813718</c:v>
                </c:pt>
                <c:pt idx="139">
                  <c:v>93.66848736224226</c:v>
                </c:pt>
                <c:pt idx="140">
                  <c:v>90.71265841944431</c:v>
                </c:pt>
                <c:pt idx="141">
                  <c:v>87.937672665466437</c:v>
                </c:pt>
                <c:pt idx="142">
                  <c:v>85.327426241543677</c:v>
                </c:pt>
                <c:pt idx="143">
                  <c:v>82.867672207995454</c:v>
                </c:pt>
                <c:pt idx="144">
                  <c:v>80.999674680930639</c:v>
                </c:pt>
                <c:pt idx="145">
                  <c:v>80.999674680930639</c:v>
                </c:pt>
              </c:numCache>
            </c:numRef>
          </c:yVal>
          <c:smooth val="1"/>
        </c:ser>
        <c:ser>
          <c:idx val="5"/>
          <c:order val="4"/>
          <c:tx>
            <c:strRef>
              <c:f>Ver130kHz!$S$212</c:f>
              <c:strCache>
                <c:ptCount val="1"/>
                <c:pt idx="0">
                  <c:v>Peak at 115VAC </c:v>
                </c:pt>
              </c:strCache>
            </c:strRef>
          </c:tx>
          <c:spPr>
            <a:ln>
              <a:solidFill>
                <a:srgbClr val="CC9900"/>
              </a:solidFill>
            </a:ln>
          </c:spPr>
          <c:marker>
            <c:symbol val="none"/>
          </c:marker>
          <c:xVal>
            <c:numRef>
              <c:f>Ver130kHz!$V$214:$V$359</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4.6659984042518658</c:v>
                </c:pt>
                <c:pt idx="57">
                  <c:v>4.7946270126310253</c:v>
                </c:pt>
                <c:pt idx="58">
                  <c:v>4.9270512263163555</c:v>
                </c:pt>
                <c:pt idx="59">
                  <c:v>5.0634178536063903</c:v>
                </c:pt>
                <c:pt idx="60">
                  <c:v>5.2038813727861086</c:v>
                </c:pt>
                <c:pt idx="61">
                  <c:v>5.3486044396530383</c:v>
                </c:pt>
                <c:pt idx="62">
                  <c:v>5.4977584358837088</c:v>
                </c:pt>
                <c:pt idx="63">
                  <c:v>5.6515240621266782</c:v>
                </c:pt>
                <c:pt idx="64">
                  <c:v>5.8100919801368613</c:v>
                </c:pt>
                <c:pt idx="65">
                  <c:v>5.9736635087482002</c:v>
                </c:pt>
                <c:pt idx="66">
                  <c:v>6.1424513790256245</c:v>
                </c:pt>
                <c:pt idx="67">
                  <c:v>6.3166805545513975</c:v>
                </c:pt>
                <c:pt idx="68">
                  <c:v>6.4965891234959194</c:v>
                </c:pt>
                <c:pt idx="69">
                  <c:v>6.6824292699103633</c:v>
                </c:pt>
                <c:pt idx="70">
                  <c:v>6.8744683325724552</c:v>
                </c:pt>
                <c:pt idx="71">
                  <c:v>7.0729899607333753</c:v>
                </c:pt>
                <c:pt idx="72">
                  <c:v>7.278295377271907</c:v>
                </c:pt>
                <c:pt idx="73">
                  <c:v>7.4907047610844222</c:v>
                </c:pt>
                <c:pt idx="74">
                  <c:v>7.7105587620517904</c:v>
                </c:pt>
                <c:pt idx="75">
                  <c:v>7.9382201636578982</c:v>
                </c:pt>
                <c:pt idx="76">
                  <c:v>8.1740757103258552</c:v>
                </c:pt>
                <c:pt idx="77">
                  <c:v>8.4185381188301402</c:v>
                </c:pt>
                <c:pt idx="78">
                  <c:v>8.6720482957872136</c:v>
                </c:pt>
                <c:pt idx="79">
                  <c:v>8.935077786285424</c:v>
                </c:pt>
                <c:pt idx="80">
                  <c:v>9.2081314822590965</c:v>
                </c:pt>
                <c:pt idx="81">
                  <c:v>9.4917506233305389</c:v>
                </c:pt>
                <c:pt idx="82">
                  <c:v>9.7865161276417272</c:v>
                </c:pt>
                <c:pt idx="83">
                  <c:v>10.093052295801424</c:v>
                </c:pt>
                <c:pt idx="84">
                  <c:v>10.412030937637311</c:v>
                </c:pt>
                <c:pt idx="85">
                  <c:v>10.744175979152253</c:v>
                </c:pt>
                <c:pt idx="86">
                  <c:v>11.090268616165266</c:v>
                </c:pt>
                <c:pt idx="87">
                  <c:v>11.451153091848713</c:v>
                </c:pt>
                <c:pt idx="88">
                  <c:v>11.827743188092837</c:v>
                </c:pt>
                <c:pt idx="89">
                  <c:v>12.221029535754868</c:v>
                </c:pt>
                <c:pt idx="90">
                  <c:v>12.632087866900424</c:v>
                </c:pt>
                <c:pt idx="91">
                  <c:v>13.062088353760236</c:v>
                </c:pt>
                <c:pt idx="92">
                  <c:v>13.512306205106551</c:v>
                </c:pt>
                <c:pt idx="93">
                  <c:v>13.984133722102321</c:v>
                </c:pt>
                <c:pt idx="94">
                  <c:v>14.479094053654226</c:v>
                </c:pt>
                <c:pt idx="95">
                  <c:v>14.998856937501628</c:v>
                </c:pt>
                <c:pt idx="96">
                  <c:v>15.545256769726608</c:v>
                </c:pt>
                <c:pt idx="97">
                  <c:v>16.120313414664913</c:v>
                </c:pt>
                <c:pt idx="98">
                  <c:v>16.726256252665241</c:v>
                </c:pt>
                <c:pt idx="99">
                  <c:v>17.365552069089734</c:v>
                </c:pt>
                <c:pt idx="100">
                  <c:v>18.040937519973536</c:v>
                </c:pt>
                <c:pt idx="101">
                  <c:v>18.755457075197171</c:v>
                </c:pt>
                <c:pt idx="102">
                  <c:v>19.512507548542541</c:v>
                </c:pt>
                <c:pt idx="103">
                  <c:v>20.315890588433557</c:v>
                </c:pt>
                <c:pt idx="104">
                  <c:v>21.169874840680745</c:v>
                </c:pt>
                <c:pt idx="105">
                  <c:v>22.079269928308882</c:v>
                </c:pt>
                <c:pt idx="106">
                  <c:v>23.049514955040749</c:v>
                </c:pt>
                <c:pt idx="107">
                  <c:v>24.086784971444292</c:v>
                </c:pt>
                <c:pt idx="108">
                  <c:v>25.198119805974194</c:v>
                </c:pt>
                <c:pt idx="109">
                  <c:v>26.391580940885202</c:v>
                </c:pt>
                <c:pt idx="110">
                  <c:v>27.676443823670464</c:v>
                </c:pt>
                <c:pt idx="111">
                  <c:v>29.063435317648199</c:v>
                </c:pt>
                <c:pt idx="112">
                  <c:v>30.565029155788942</c:v>
                </c:pt>
                <c:pt idx="113">
                  <c:v>32.195816629529105</c:v>
                </c:pt>
                <c:pt idx="114">
                  <c:v>33.972975854192697</c:v>
                </c:pt>
                <c:pt idx="115">
                  <c:v>35.916871612730354</c:v>
                </c:pt>
                <c:pt idx="116">
                  <c:v>38.051830230008299</c:v>
                </c:pt>
                <c:pt idx="117">
                  <c:v>40.407152108448763</c:v>
                </c:pt>
                <c:pt idx="118">
                  <c:v>43.018451548244869</c:v>
                </c:pt>
                <c:pt idx="119">
                  <c:v>45.929454300236202</c:v>
                </c:pt>
                <c:pt idx="120">
                  <c:v>49.194446308481503</c:v>
                </c:pt>
                <c:pt idx="121">
                  <c:v>52.881666547486333</c:v>
                </c:pt>
                <c:pt idx="122">
                  <c:v>57.078097768401499</c:v>
                </c:pt>
                <c:pt idx="123">
                  <c:v>61.896376656593809</c:v>
                </c:pt>
                <c:pt idx="124">
                  <c:v>63.124930938112406</c:v>
                </c:pt>
                <c:pt idx="125">
                  <c:v>64.365558218154291</c:v>
                </c:pt>
                <c:pt idx="126">
                  <c:v>65.618258496719321</c:v>
                </c:pt>
                <c:pt idx="127">
                  <c:v>66.88303177380763</c:v>
                </c:pt>
                <c:pt idx="128">
                  <c:v>68.15987804941912</c:v>
                </c:pt>
                <c:pt idx="129">
                  <c:v>71.404813106986893</c:v>
                </c:pt>
                <c:pt idx="130">
                  <c:v>73.790502403332042</c:v>
                </c:pt>
                <c:pt idx="131">
                  <c:v>75.55582605648479</c:v>
                </c:pt>
                <c:pt idx="132">
                  <c:v>77.321441995219686</c:v>
                </c:pt>
                <c:pt idx="133">
                  <c:v>79.087332882756783</c:v>
                </c:pt>
                <c:pt idx="134">
                  <c:v>80.853482726830066</c:v>
                </c:pt>
                <c:pt idx="135">
                  <c:v>84.386501285253829</c:v>
                </c:pt>
                <c:pt idx="136">
                  <c:v>87.920392107523398</c:v>
                </c:pt>
                <c:pt idx="137">
                  <c:v>91.455064297839257</c:v>
                </c:pt>
                <c:pt idx="138">
                  <c:v>94.990439165720019</c:v>
                </c:pt>
                <c:pt idx="139">
                  <c:v>98.526448243906515</c:v>
                </c:pt>
                <c:pt idx="140">
                  <c:v>102.06303168037611</c:v>
                </c:pt>
                <c:pt idx="141">
                  <c:v>105.60013692460083</c:v>
                </c:pt>
                <c:pt idx="142">
                  <c:v>109.13771764709003</c:v>
                </c:pt>
                <c:pt idx="143">
                  <c:v>112.6757328452787</c:v>
                </c:pt>
                <c:pt idx="144">
                  <c:v>115.50643321465328</c:v>
                </c:pt>
                <c:pt idx="145">
                  <c:v>115.50643321465328</c:v>
                </c:pt>
              </c:numCache>
            </c:numRef>
          </c:xVal>
          <c:yVal>
            <c:numRef>
              <c:f>Ver130kHz!$U$214:$U$359</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22.026757883358133</c:v>
                </c:pt>
                <c:pt idx="57">
                  <c:v>22.303606436933268</c:v>
                </c:pt>
                <c:pt idx="58">
                  <c:v>22.58750284716422</c:v>
                </c:pt>
                <c:pt idx="59">
                  <c:v>22.878719714535098</c:v>
                </c:pt>
                <c:pt idx="60">
                  <c:v>23.177543881517952</c:v>
                </c:pt>
                <c:pt idx="61">
                  <c:v>23.48427737497089</c:v>
                </c:pt>
                <c:pt idx="62">
                  <c:v>23.799238424370419</c:v>
                </c:pt>
                <c:pt idx="63">
                  <c:v>24.122762563094199</c:v>
                </c:pt>
                <c:pt idx="64">
                  <c:v>24.455203820765959</c:v>
                </c:pt>
                <c:pt idx="65">
                  <c:v>24.796936015569976</c:v>
                </c:pt>
                <c:pt idx="66">
                  <c:v>25.148354156452349</c:v>
                </c:pt>
                <c:pt idx="67">
                  <c:v>25.509875966266939</c:v>
                </c:pt>
                <c:pt idx="68">
                  <c:v>25.881943538213928</c:v>
                </c:pt>
                <c:pt idx="69">
                  <c:v>26.265025139381205</c:v>
                </c:pt>
                <c:pt idx="70">
                  <c:v>26.659617176858553</c:v>
                </c:pt>
                <c:pt idx="71">
                  <c:v>27.066246343782272</c:v>
                </c:pt>
                <c:pt idx="72">
                  <c:v>27.485471964818597</c:v>
                </c:pt>
                <c:pt idx="73">
                  <c:v>27.917888563049853</c:v>
                </c:pt>
                <c:pt idx="74">
                  <c:v>28.364128673035488</c:v>
                </c:pt>
                <c:pt idx="75">
                  <c:v>28.824865928039575</c:v>
                </c:pt>
                <c:pt idx="76">
                  <c:v>29.300818453113759</c:v>
                </c:pt>
                <c:pt idx="77">
                  <c:v>29.792752599980972</c:v>
                </c:pt>
                <c:pt idx="78">
                  <c:v>30.301487064575266</c:v>
                </c:pt>
                <c:pt idx="79">
                  <c:v>30.82789743377182</c:v>
                </c:pt>
                <c:pt idx="80">
                  <c:v>31.372921214422043</c:v>
                </c:pt>
                <c:pt idx="81">
                  <c:v>31.937563405456757</c:v>
                </c:pt>
                <c:pt idx="82">
                  <c:v>32.522902682729509</c:v>
                </c:pt>
                <c:pt idx="83">
                  <c:v>33.130098276678069</c:v>
                </c:pt>
                <c:pt idx="84">
                  <c:v>33.76039763506995</c:v>
                </c:pt>
                <c:pt idx="85">
                  <c:v>34.415144977413249</c:v>
                </c:pt>
                <c:pt idx="86">
                  <c:v>35.095790864477152</c:v>
                </c:pt>
                <c:pt idx="87">
                  <c:v>35.803902926292089</c:v>
                </c:pt>
                <c:pt idx="88">
                  <c:v>36.54117791561751</c:v>
                </c:pt>
                <c:pt idx="89">
                  <c:v>37.309455281952879</c:v>
                </c:pt>
                <c:pt idx="90">
                  <c:v>38.11073249468371</c:v>
                </c:pt>
                <c:pt idx="91">
                  <c:v>38.947182384091214</c:v>
                </c:pt>
                <c:pt idx="92">
                  <c:v>39.821172817197386</c:v>
                </c:pt>
                <c:pt idx="93">
                  <c:v>40.735289083627144</c:v>
                </c:pt>
                <c:pt idx="94">
                  <c:v>41.692359437188173</c:v>
                </c:pt>
                <c:pt idx="95">
                  <c:v>42.695484324657897</c:v>
                </c:pt>
                <c:pt idx="96">
                  <c:v>43.748069938090964</c:v>
                </c:pt>
                <c:pt idx="97">
                  <c:v>44.853866855630855</c:v>
                </c:pt>
                <c:pt idx="98">
                  <c:v>46.017014694508909</c:v>
                </c:pt>
                <c:pt idx="99">
                  <c:v>47.242093896639055</c:v>
                </c:pt>
                <c:pt idx="100">
                  <c:v>48.534186012366021</c:v>
                </c:pt>
                <c:pt idx="101">
                  <c:v>49.8989441551144</c:v>
                </c:pt>
                <c:pt idx="102">
                  <c:v>51.342675686870059</c:v>
                </c:pt>
                <c:pt idx="103">
                  <c:v>52.872439685431154</c:v>
                </c:pt>
                <c:pt idx="104">
                  <c:v>54.496162371086768</c:v>
                </c:pt>
                <c:pt idx="105">
                  <c:v>56.222774475805288</c:v>
                </c:pt>
                <c:pt idx="106">
                  <c:v>58.062375580623716</c:v>
                </c:pt>
                <c:pt idx="107">
                  <c:v>60.026431806946903</c:v>
                </c:pt>
                <c:pt idx="108">
                  <c:v>62.128015036023768</c:v>
                </c:pt>
                <c:pt idx="109">
                  <c:v>64.38209420344738</c:v>
                </c:pt>
                <c:pt idx="110">
                  <c:v>66.805892391987754</c:v>
                </c:pt>
                <c:pt idx="111">
                  <c:v>69.419327740896691</c:v>
                </c:pt>
                <c:pt idx="112">
                  <c:v>72.245562058330648</c:v>
                </c:pt>
                <c:pt idx="113">
                  <c:v>75.311689133599103</c:v>
                </c:pt>
                <c:pt idx="114">
                  <c:v>78.649606091048369</c:v>
                </c:pt>
                <c:pt idx="115">
                  <c:v>82.297127207845165</c:v>
                </c:pt>
                <c:pt idx="116">
                  <c:v>86.299422736634369</c:v>
                </c:pt>
                <c:pt idx="117">
                  <c:v>90.710899028859785</c:v>
                </c:pt>
                <c:pt idx="118">
                  <c:v>95.597686375321189</c:v>
                </c:pt>
                <c:pt idx="119">
                  <c:v>101.04097678604779</c:v>
                </c:pt>
                <c:pt idx="120">
                  <c:v>107.14157092952043</c:v>
                </c:pt>
                <c:pt idx="121">
                  <c:v>114.02617811080658</c:v>
                </c:pt>
                <c:pt idx="122">
                  <c:v>121.85631195215844</c:v>
                </c:pt>
                <c:pt idx="123">
                  <c:v>130.8411214953272</c:v>
                </c:pt>
                <c:pt idx="124">
                  <c:v>130.84112149532709</c:v>
                </c:pt>
                <c:pt idx="125">
                  <c:v>130.84112149532709</c:v>
                </c:pt>
                <c:pt idx="126">
                  <c:v>130.84112149532709</c:v>
                </c:pt>
                <c:pt idx="127">
                  <c:v>130.84112149532709</c:v>
                </c:pt>
                <c:pt idx="128">
                  <c:v>130.84112149532709</c:v>
                </c:pt>
                <c:pt idx="129">
                  <c:v>130.84112149532709</c:v>
                </c:pt>
                <c:pt idx="130">
                  <c:v>129.20449220567951</c:v>
                </c:pt>
                <c:pt idx="131">
                  <c:v>126.54475036726426</c:v>
                </c:pt>
                <c:pt idx="132">
                  <c:v>123.99230413782595</c:v>
                </c:pt>
                <c:pt idx="133">
                  <c:v>121.54078932945519</c:v>
                </c:pt>
                <c:pt idx="134">
                  <c:v>119.18433531418214</c:v>
                </c:pt>
                <c:pt idx="135">
                  <c:v>114.73531859021355</c:v>
                </c:pt>
                <c:pt idx="136">
                  <c:v>110.606502677496</c:v>
                </c:pt>
                <c:pt idx="137">
                  <c:v>106.7645204831646</c:v>
                </c:pt>
                <c:pt idx="138">
                  <c:v>103.18048538525981</c:v>
                </c:pt>
                <c:pt idx="139">
                  <c:v>99.829263621709487</c:v>
                </c:pt>
                <c:pt idx="140">
                  <c:v>96.688884012275892</c:v>
                </c:pt>
                <c:pt idx="141">
                  <c:v>93.740055694696508</c:v>
                </c:pt>
                <c:pt idx="142">
                  <c:v>90.965771497876759</c:v>
                </c:pt>
                <c:pt idx="143">
                  <c:v>88.350979720802613</c:v>
                </c:pt>
                <c:pt idx="144">
                  <c:v>86.364946098122076</c:v>
                </c:pt>
                <c:pt idx="145">
                  <c:v>86.364946098122076</c:v>
                </c:pt>
              </c:numCache>
            </c:numRef>
          </c:yVal>
          <c:smooth val="1"/>
        </c:ser>
        <c:ser>
          <c:idx val="7"/>
          <c:order val="5"/>
          <c:tx>
            <c:strRef>
              <c:f>Ver130kHz!$W$212</c:f>
              <c:strCache>
                <c:ptCount val="1"/>
                <c:pt idx="0">
                  <c:v>Peak at 135VAC </c:v>
                </c:pt>
              </c:strCache>
            </c:strRef>
          </c:tx>
          <c:spPr>
            <a:ln>
              <a:solidFill>
                <a:srgbClr val="008000"/>
              </a:solidFill>
            </a:ln>
          </c:spPr>
          <c:marker>
            <c:symbol val="none"/>
          </c:marker>
          <c:xVal>
            <c:numRef>
              <c:f>Ver130kHz!$Z$214:$Z$359</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4.6659984042518658</c:v>
                </c:pt>
                <c:pt idx="57">
                  <c:v>4.7946270126310253</c:v>
                </c:pt>
                <c:pt idx="58">
                  <c:v>4.9270512263163555</c:v>
                </c:pt>
                <c:pt idx="59">
                  <c:v>5.0634178536063903</c:v>
                </c:pt>
                <c:pt idx="60">
                  <c:v>5.2038813727861086</c:v>
                </c:pt>
                <c:pt idx="61">
                  <c:v>5.3486044396530383</c:v>
                </c:pt>
                <c:pt idx="62">
                  <c:v>5.4977584358837088</c:v>
                </c:pt>
                <c:pt idx="63">
                  <c:v>5.6515240621266782</c:v>
                </c:pt>
                <c:pt idx="64">
                  <c:v>5.8100919801368613</c:v>
                </c:pt>
                <c:pt idx="65">
                  <c:v>5.9736635087482002</c:v>
                </c:pt>
                <c:pt idx="66">
                  <c:v>6.1424513790256245</c:v>
                </c:pt>
                <c:pt idx="67">
                  <c:v>6.3166805545513975</c:v>
                </c:pt>
                <c:pt idx="68">
                  <c:v>6.4965891234959194</c:v>
                </c:pt>
                <c:pt idx="69">
                  <c:v>6.6824292699103633</c:v>
                </c:pt>
                <c:pt idx="70">
                  <c:v>6.8744683325724552</c:v>
                </c:pt>
                <c:pt idx="71">
                  <c:v>7.0729899607333753</c:v>
                </c:pt>
                <c:pt idx="72">
                  <c:v>7.278295377271907</c:v>
                </c:pt>
                <c:pt idx="73">
                  <c:v>7.4907047610844222</c:v>
                </c:pt>
                <c:pt idx="74">
                  <c:v>7.7105587620517904</c:v>
                </c:pt>
                <c:pt idx="75">
                  <c:v>7.9382201636578982</c:v>
                </c:pt>
                <c:pt idx="76">
                  <c:v>8.1740757103258552</c:v>
                </c:pt>
                <c:pt idx="77">
                  <c:v>8.4185381188301402</c:v>
                </c:pt>
                <c:pt idx="78">
                  <c:v>8.6720482957872136</c:v>
                </c:pt>
                <c:pt idx="79">
                  <c:v>8.935077786285424</c:v>
                </c:pt>
                <c:pt idx="80">
                  <c:v>9.2081314822590965</c:v>
                </c:pt>
                <c:pt idx="81">
                  <c:v>9.4917506233305389</c:v>
                </c:pt>
                <c:pt idx="82">
                  <c:v>9.7865161276417272</c:v>
                </c:pt>
                <c:pt idx="83">
                  <c:v>10.093052295801424</c:v>
                </c:pt>
                <c:pt idx="84">
                  <c:v>10.412030937637311</c:v>
                </c:pt>
                <c:pt idx="85">
                  <c:v>10.744175979152253</c:v>
                </c:pt>
                <c:pt idx="86">
                  <c:v>11.090268616165266</c:v>
                </c:pt>
                <c:pt idx="87">
                  <c:v>11.451153091848713</c:v>
                </c:pt>
                <c:pt idx="88">
                  <c:v>11.827743188092837</c:v>
                </c:pt>
                <c:pt idx="89">
                  <c:v>12.221029535754868</c:v>
                </c:pt>
                <c:pt idx="90">
                  <c:v>12.632087866900424</c:v>
                </c:pt>
                <c:pt idx="91">
                  <c:v>13.062088353760236</c:v>
                </c:pt>
                <c:pt idx="92">
                  <c:v>13.512306205106551</c:v>
                </c:pt>
                <c:pt idx="93">
                  <c:v>13.984133722102321</c:v>
                </c:pt>
                <c:pt idx="94">
                  <c:v>14.479094053654226</c:v>
                </c:pt>
                <c:pt idx="95">
                  <c:v>14.998856937501628</c:v>
                </c:pt>
                <c:pt idx="96">
                  <c:v>15.545256769726608</c:v>
                </c:pt>
                <c:pt idx="97">
                  <c:v>16.120313414664913</c:v>
                </c:pt>
                <c:pt idx="98">
                  <c:v>16.726256252665241</c:v>
                </c:pt>
                <c:pt idx="99">
                  <c:v>17.365552069089734</c:v>
                </c:pt>
                <c:pt idx="100">
                  <c:v>18.040937519973536</c:v>
                </c:pt>
                <c:pt idx="101">
                  <c:v>18.755457075197171</c:v>
                </c:pt>
                <c:pt idx="102">
                  <c:v>19.512507548542541</c:v>
                </c:pt>
                <c:pt idx="103">
                  <c:v>20.315890588433557</c:v>
                </c:pt>
                <c:pt idx="104">
                  <c:v>21.169874840680745</c:v>
                </c:pt>
                <c:pt idx="105">
                  <c:v>22.079269928308882</c:v>
                </c:pt>
                <c:pt idx="106">
                  <c:v>23.049514955040749</c:v>
                </c:pt>
                <c:pt idx="107">
                  <c:v>24.086784971444292</c:v>
                </c:pt>
                <c:pt idx="108">
                  <c:v>25.198119805974194</c:v>
                </c:pt>
                <c:pt idx="109">
                  <c:v>26.391580940885202</c:v>
                </c:pt>
                <c:pt idx="110">
                  <c:v>27.676443823670464</c:v>
                </c:pt>
                <c:pt idx="111">
                  <c:v>29.063435317648199</c:v>
                </c:pt>
                <c:pt idx="112">
                  <c:v>30.565029155788942</c:v>
                </c:pt>
                <c:pt idx="113">
                  <c:v>32.195816629529105</c:v>
                </c:pt>
                <c:pt idx="114">
                  <c:v>33.972975854192697</c:v>
                </c:pt>
                <c:pt idx="115">
                  <c:v>35.916871612730354</c:v>
                </c:pt>
                <c:pt idx="116">
                  <c:v>38.051830230008299</c:v>
                </c:pt>
                <c:pt idx="117">
                  <c:v>40.407152108448763</c:v>
                </c:pt>
                <c:pt idx="118">
                  <c:v>43.018451548244869</c:v>
                </c:pt>
                <c:pt idx="119">
                  <c:v>45.929454300236202</c:v>
                </c:pt>
                <c:pt idx="120">
                  <c:v>49.194446308481503</c:v>
                </c:pt>
                <c:pt idx="121">
                  <c:v>52.881666547486333</c:v>
                </c:pt>
                <c:pt idx="122">
                  <c:v>57.078097768401499</c:v>
                </c:pt>
                <c:pt idx="123">
                  <c:v>61.896376656593809</c:v>
                </c:pt>
                <c:pt idx="124">
                  <c:v>63.124930938112406</c:v>
                </c:pt>
                <c:pt idx="125">
                  <c:v>64.365558218154291</c:v>
                </c:pt>
                <c:pt idx="126">
                  <c:v>65.618258496719321</c:v>
                </c:pt>
                <c:pt idx="127">
                  <c:v>66.88303177380763</c:v>
                </c:pt>
                <c:pt idx="128">
                  <c:v>68.15987804941912</c:v>
                </c:pt>
                <c:pt idx="129">
                  <c:v>71.404813106986893</c:v>
                </c:pt>
                <c:pt idx="130">
                  <c:v>74.725204405324774</c:v>
                </c:pt>
                <c:pt idx="131">
                  <c:v>78.12105194443275</c:v>
                </c:pt>
                <c:pt idx="132">
                  <c:v>81.592355724310778</c:v>
                </c:pt>
                <c:pt idx="133">
                  <c:v>84.23316090562281</c:v>
                </c:pt>
                <c:pt idx="134">
                  <c:v>86.121254890091976</c:v>
                </c:pt>
                <c:pt idx="135">
                  <c:v>89.898311653140183</c:v>
                </c:pt>
                <c:pt idx="136">
                  <c:v>93.676422994235864</c:v>
                </c:pt>
                <c:pt idx="137">
                  <c:v>97.455479425808065</c:v>
                </c:pt>
                <c:pt idx="138">
                  <c:v>101.23538610949593</c:v>
                </c:pt>
                <c:pt idx="139">
                  <c:v>105.01606048540654</c:v>
                </c:pt>
                <c:pt idx="140">
                  <c:v>108.79743034733822</c:v>
                </c:pt>
                <c:pt idx="141">
                  <c:v>112.57943226907196</c:v>
                </c:pt>
                <c:pt idx="142">
                  <c:v>116.36201030922923</c:v>
                </c:pt>
                <c:pt idx="143">
                  <c:v>120.14511493881734</c:v>
                </c:pt>
                <c:pt idx="144">
                  <c:v>123.17194804658841</c:v>
                </c:pt>
                <c:pt idx="145">
                  <c:v>123.17194804658841</c:v>
                </c:pt>
              </c:numCache>
            </c:numRef>
          </c:xVal>
          <c:yVal>
            <c:numRef>
              <c:f>Ver130kHz!$Y$214:$Y$359</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22.026757883358133</c:v>
                </c:pt>
                <c:pt idx="57">
                  <c:v>22.303606436933268</c:v>
                </c:pt>
                <c:pt idx="58">
                  <c:v>22.58750284716422</c:v>
                </c:pt>
                <c:pt idx="59">
                  <c:v>22.878719714535098</c:v>
                </c:pt>
                <c:pt idx="60">
                  <c:v>23.177543881517952</c:v>
                </c:pt>
                <c:pt idx="61">
                  <c:v>23.48427737497089</c:v>
                </c:pt>
                <c:pt idx="62">
                  <c:v>23.799238424370419</c:v>
                </c:pt>
                <c:pt idx="63">
                  <c:v>24.122762563094199</c:v>
                </c:pt>
                <c:pt idx="64">
                  <c:v>24.455203820765959</c:v>
                </c:pt>
                <c:pt idx="65">
                  <c:v>24.796936015569976</c:v>
                </c:pt>
                <c:pt idx="66">
                  <c:v>25.148354156452349</c:v>
                </c:pt>
                <c:pt idx="67">
                  <c:v>25.509875966266939</c:v>
                </c:pt>
                <c:pt idx="68">
                  <c:v>25.881943538213928</c:v>
                </c:pt>
                <c:pt idx="69">
                  <c:v>26.265025139381205</c:v>
                </c:pt>
                <c:pt idx="70">
                  <c:v>26.659617176858553</c:v>
                </c:pt>
                <c:pt idx="71">
                  <c:v>27.066246343782272</c:v>
                </c:pt>
                <c:pt idx="72">
                  <c:v>27.485471964818597</c:v>
                </c:pt>
                <c:pt idx="73">
                  <c:v>27.917888563049853</c:v>
                </c:pt>
                <c:pt idx="74">
                  <c:v>28.364128673035488</c:v>
                </c:pt>
                <c:pt idx="75">
                  <c:v>28.824865928039575</c:v>
                </c:pt>
                <c:pt idx="76">
                  <c:v>29.300818453113759</c:v>
                </c:pt>
                <c:pt idx="77">
                  <c:v>29.792752599980972</c:v>
                </c:pt>
                <c:pt idx="78">
                  <c:v>30.301487064575266</c:v>
                </c:pt>
                <c:pt idx="79">
                  <c:v>30.82789743377182</c:v>
                </c:pt>
                <c:pt idx="80">
                  <c:v>31.372921214422043</c:v>
                </c:pt>
                <c:pt idx="81">
                  <c:v>31.937563405456757</c:v>
                </c:pt>
                <c:pt idx="82">
                  <c:v>32.522902682729509</c:v>
                </c:pt>
                <c:pt idx="83">
                  <c:v>33.130098276678069</c:v>
                </c:pt>
                <c:pt idx="84">
                  <c:v>33.76039763506995</c:v>
                </c:pt>
                <c:pt idx="85">
                  <c:v>34.415144977413249</c:v>
                </c:pt>
                <c:pt idx="86">
                  <c:v>35.095790864477152</c:v>
                </c:pt>
                <c:pt idx="87">
                  <c:v>35.803902926292089</c:v>
                </c:pt>
                <c:pt idx="88">
                  <c:v>36.54117791561751</c:v>
                </c:pt>
                <c:pt idx="89">
                  <c:v>37.309455281952879</c:v>
                </c:pt>
                <c:pt idx="90">
                  <c:v>38.11073249468371</c:v>
                </c:pt>
                <c:pt idx="91">
                  <c:v>38.947182384091214</c:v>
                </c:pt>
                <c:pt idx="92">
                  <c:v>39.821172817197386</c:v>
                </c:pt>
                <c:pt idx="93">
                  <c:v>40.735289083627144</c:v>
                </c:pt>
                <c:pt idx="94">
                  <c:v>41.692359437188173</c:v>
                </c:pt>
                <c:pt idx="95">
                  <c:v>42.695484324657897</c:v>
                </c:pt>
                <c:pt idx="96">
                  <c:v>43.748069938090964</c:v>
                </c:pt>
                <c:pt idx="97">
                  <c:v>44.853866855630855</c:v>
                </c:pt>
                <c:pt idx="98">
                  <c:v>46.017014694508909</c:v>
                </c:pt>
                <c:pt idx="99">
                  <c:v>47.242093896639055</c:v>
                </c:pt>
                <c:pt idx="100">
                  <c:v>48.534186012366021</c:v>
                </c:pt>
                <c:pt idx="101">
                  <c:v>49.8989441551144</c:v>
                </c:pt>
                <c:pt idx="102">
                  <c:v>51.342675686870059</c:v>
                </c:pt>
                <c:pt idx="103">
                  <c:v>52.872439685431154</c:v>
                </c:pt>
                <c:pt idx="104">
                  <c:v>54.496162371086768</c:v>
                </c:pt>
                <c:pt idx="105">
                  <c:v>56.222774475805288</c:v>
                </c:pt>
                <c:pt idx="106">
                  <c:v>58.062375580623716</c:v>
                </c:pt>
                <c:pt idx="107">
                  <c:v>60.026431806946903</c:v>
                </c:pt>
                <c:pt idx="108">
                  <c:v>62.128015036023768</c:v>
                </c:pt>
                <c:pt idx="109">
                  <c:v>64.38209420344738</c:v>
                </c:pt>
                <c:pt idx="110">
                  <c:v>66.805892391987754</c:v>
                </c:pt>
                <c:pt idx="111">
                  <c:v>69.419327740896691</c:v>
                </c:pt>
                <c:pt idx="112">
                  <c:v>72.245562058330648</c:v>
                </c:pt>
                <c:pt idx="113">
                  <c:v>75.311689133599103</c:v>
                </c:pt>
                <c:pt idx="114">
                  <c:v>78.649606091048369</c:v>
                </c:pt>
                <c:pt idx="115">
                  <c:v>82.297127207845165</c:v>
                </c:pt>
                <c:pt idx="116">
                  <c:v>86.299422736634369</c:v>
                </c:pt>
                <c:pt idx="117">
                  <c:v>90.710899028859785</c:v>
                </c:pt>
                <c:pt idx="118">
                  <c:v>95.597686375321189</c:v>
                </c:pt>
                <c:pt idx="119">
                  <c:v>101.04097678604779</c:v>
                </c:pt>
                <c:pt idx="120">
                  <c:v>107.14157092952043</c:v>
                </c:pt>
                <c:pt idx="121">
                  <c:v>114.02617811080658</c:v>
                </c:pt>
                <c:pt idx="122">
                  <c:v>121.85631195215844</c:v>
                </c:pt>
                <c:pt idx="123">
                  <c:v>130.8411214953272</c:v>
                </c:pt>
                <c:pt idx="124">
                  <c:v>130.84112149532709</c:v>
                </c:pt>
                <c:pt idx="125">
                  <c:v>130.84112149532709</c:v>
                </c:pt>
                <c:pt idx="126">
                  <c:v>130.84112149532709</c:v>
                </c:pt>
                <c:pt idx="127">
                  <c:v>130.84112149532709</c:v>
                </c:pt>
                <c:pt idx="128">
                  <c:v>130.84112149532709</c:v>
                </c:pt>
                <c:pt idx="129">
                  <c:v>130.84112149532709</c:v>
                </c:pt>
                <c:pt idx="130">
                  <c:v>130.84112149532709</c:v>
                </c:pt>
                <c:pt idx="131">
                  <c:v>130.84112149532709</c:v>
                </c:pt>
                <c:pt idx="132">
                  <c:v>130.84112149532709</c:v>
                </c:pt>
                <c:pt idx="133">
                  <c:v>129.44885724445157</c:v>
                </c:pt>
                <c:pt idx="134">
                  <c:v>126.94944205653628</c:v>
                </c:pt>
                <c:pt idx="135">
                  <c:v>122.22940009538897</c:v>
                </c:pt>
                <c:pt idx="136">
                  <c:v>117.847762986075</c:v>
                </c:pt>
                <c:pt idx="137">
                  <c:v>113.76939712674979</c:v>
                </c:pt>
                <c:pt idx="138">
                  <c:v>109.96386971870679</c:v>
                </c:pt>
                <c:pt idx="139">
                  <c:v>106.40468801593499</c:v>
                </c:pt>
                <c:pt idx="140">
                  <c:v>103.06868168124441</c:v>
                </c:pt>
                <c:pt idx="141">
                  <c:v>99.935497796893699</c:v>
                </c:pt>
                <c:pt idx="142">
                  <c:v>96.98718526486573</c:v>
                </c:pt>
                <c:pt idx="143">
                  <c:v>94.207850665492543</c:v>
                </c:pt>
                <c:pt idx="144">
                  <c:v>92.096503699283005</c:v>
                </c:pt>
                <c:pt idx="145">
                  <c:v>92.096503699283005</c:v>
                </c:pt>
              </c:numCache>
            </c:numRef>
          </c:yVal>
          <c:smooth val="1"/>
        </c:ser>
        <c:dLbls>
          <c:showLegendKey val="0"/>
          <c:showVal val="0"/>
          <c:showCatName val="0"/>
          <c:showSerName val="0"/>
          <c:showPercent val="0"/>
          <c:showBubbleSize val="0"/>
        </c:dLbls>
        <c:axId val="170519936"/>
        <c:axId val="192886272"/>
      </c:scatterChart>
      <c:valAx>
        <c:axId val="170519936"/>
        <c:scaling>
          <c:orientation val="minMax"/>
          <c:max val="80"/>
          <c:min val="0"/>
        </c:scaling>
        <c:delete val="0"/>
        <c:axPos val="b"/>
        <c:majorGridlines/>
        <c:minorGridlines/>
        <c:title>
          <c:tx>
            <c:rich>
              <a:bodyPr/>
              <a:lstStyle/>
              <a:p>
                <a:pPr>
                  <a:defRPr sz="1600"/>
                </a:pPr>
                <a:r>
                  <a:rPr lang="en-US" altLang="zh-TW" sz="1600"/>
                  <a:t>Output</a:t>
                </a:r>
                <a:r>
                  <a:rPr lang="en-US" altLang="zh-TW" sz="1600" baseline="0"/>
                  <a:t> Power</a:t>
                </a:r>
                <a:r>
                  <a:rPr lang="en-US" altLang="zh-TW" sz="1600"/>
                  <a:t> (W)</a:t>
                </a:r>
                <a:endParaRPr lang="zh-TW" altLang="en-US" sz="1600"/>
              </a:p>
            </c:rich>
          </c:tx>
          <c:layout>
            <c:manualLayout>
              <c:xMode val="edge"/>
              <c:yMode val="edge"/>
              <c:x val="0.40986321760487143"/>
              <c:y val="0.92453191323246353"/>
            </c:manualLayout>
          </c:layout>
          <c:overlay val="0"/>
        </c:title>
        <c:numFmt formatCode="General" sourceLinked="0"/>
        <c:majorTickMark val="none"/>
        <c:minorTickMark val="in"/>
        <c:tickLblPos val="nextTo"/>
        <c:txPr>
          <a:bodyPr/>
          <a:lstStyle/>
          <a:p>
            <a:pPr>
              <a:defRPr sz="1200"/>
            </a:pPr>
            <a:endParaRPr lang="en-US"/>
          </a:p>
        </c:txPr>
        <c:crossAx val="192886272"/>
        <c:crosses val="autoZero"/>
        <c:crossBetween val="midCat"/>
        <c:majorUnit val="5"/>
        <c:minorUnit val="5"/>
      </c:valAx>
      <c:valAx>
        <c:axId val="192886272"/>
        <c:scaling>
          <c:orientation val="minMax"/>
        </c:scaling>
        <c:delete val="0"/>
        <c:axPos val="l"/>
        <c:majorGridlines/>
        <c:title>
          <c:tx>
            <c:rich>
              <a:bodyPr/>
              <a:lstStyle/>
              <a:p>
                <a:pPr>
                  <a:defRPr sz="1600"/>
                </a:pPr>
                <a:r>
                  <a:rPr lang="en-US" altLang="zh-TW" sz="1600"/>
                  <a:t>FSW (KHz)</a:t>
                </a:r>
                <a:endParaRPr lang="zh-TW" altLang="en-US" sz="1600"/>
              </a:p>
            </c:rich>
          </c:tx>
          <c:layout>
            <c:manualLayout>
              <c:xMode val="edge"/>
              <c:yMode val="edge"/>
              <c:x val="1.3263270709367619E-2"/>
              <c:y val="0.42225663411068759"/>
            </c:manualLayout>
          </c:layout>
          <c:overlay val="0"/>
        </c:title>
        <c:numFmt formatCode="#,##0_);\(#,##0\)" sourceLinked="0"/>
        <c:majorTickMark val="none"/>
        <c:minorTickMark val="none"/>
        <c:tickLblPos val="nextTo"/>
        <c:txPr>
          <a:bodyPr/>
          <a:lstStyle/>
          <a:p>
            <a:pPr>
              <a:defRPr sz="1200"/>
            </a:pPr>
            <a:endParaRPr lang="en-US"/>
          </a:p>
        </c:txPr>
        <c:crossAx val="170519936"/>
        <c:crosses val="autoZero"/>
        <c:crossBetween val="midCat"/>
        <c:majorUnit val="10"/>
      </c:valAx>
    </c:plotArea>
    <c:legend>
      <c:legendPos val="r"/>
      <c:layout>
        <c:manualLayout>
          <c:xMode val="edge"/>
          <c:yMode val="edge"/>
          <c:x val="0.14708297729588526"/>
          <c:y val="9.5312543819167525E-2"/>
          <c:w val="0.23519444995813785"/>
          <c:h val="0.20577795846510483"/>
        </c:manualLayout>
      </c:layout>
      <c:overlay val="1"/>
      <c:spPr>
        <a:solidFill>
          <a:schemeClr val="bg1">
            <a:alpha val="80000"/>
          </a:schemeClr>
        </a:solidFill>
        <a:ln>
          <a:noFill/>
        </a:ln>
      </c:spPr>
      <c:txPr>
        <a:bodyPr/>
        <a:lstStyle/>
        <a:p>
          <a:pPr>
            <a:defRPr sz="1000"/>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a:pPr>
            <a:r>
              <a:rPr lang="en-US" sz="1800"/>
              <a:t>Frequency Curve at High Line Input (i-ACF)</a:t>
            </a:r>
          </a:p>
        </c:rich>
      </c:tx>
      <c:layout>
        <c:manualLayout>
          <c:xMode val="edge"/>
          <c:yMode val="edge"/>
          <c:x val="0.17370921443137771"/>
          <c:y val="1.2980870948104179E-2"/>
        </c:manualLayout>
      </c:layout>
      <c:overlay val="0"/>
    </c:title>
    <c:autoTitleDeleted val="0"/>
    <c:plotArea>
      <c:layout>
        <c:manualLayout>
          <c:layoutTarget val="inner"/>
          <c:xMode val="edge"/>
          <c:yMode val="edge"/>
          <c:x val="0.13034994274335077"/>
          <c:y val="8.4779432384545772E-2"/>
          <c:w val="0.82712210361229599"/>
          <c:h val="0.77794459280315087"/>
        </c:manualLayout>
      </c:layout>
      <c:scatterChart>
        <c:scatterStyle val="smoothMarker"/>
        <c:varyColors val="0"/>
        <c:ser>
          <c:idx val="2"/>
          <c:order val="0"/>
          <c:tx>
            <c:v>Upper Bound</c:v>
          </c:tx>
          <c:spPr>
            <a:ln>
              <a:solidFill>
                <a:srgbClr val="000000"/>
              </a:solidFill>
              <a:prstDash val="lgDash"/>
            </a:ln>
          </c:spPr>
          <c:marker>
            <c:symbol val="none"/>
          </c:marker>
          <c:xVal>
            <c:numRef>
              <c:f>Ver130kHz!$F$214:$F$359</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4.6659984042518658</c:v>
                </c:pt>
                <c:pt idx="57">
                  <c:v>4.7946270126310253</c:v>
                </c:pt>
                <c:pt idx="58">
                  <c:v>4.9270512263163555</c:v>
                </c:pt>
                <c:pt idx="59">
                  <c:v>5.0634178536063903</c:v>
                </c:pt>
                <c:pt idx="60">
                  <c:v>5.2038813727861086</c:v>
                </c:pt>
                <c:pt idx="61">
                  <c:v>5.3486044396530383</c:v>
                </c:pt>
                <c:pt idx="62">
                  <c:v>5.4977584358837088</c:v>
                </c:pt>
                <c:pt idx="63">
                  <c:v>5.6515240621266782</c:v>
                </c:pt>
                <c:pt idx="64">
                  <c:v>5.8100919801368613</c:v>
                </c:pt>
                <c:pt idx="65">
                  <c:v>5.9736635087482002</c:v>
                </c:pt>
                <c:pt idx="66">
                  <c:v>6.1424513790256245</c:v>
                </c:pt>
                <c:pt idx="67">
                  <c:v>6.3166805545513975</c:v>
                </c:pt>
                <c:pt idx="68">
                  <c:v>6.4965891234959194</c:v>
                </c:pt>
                <c:pt idx="69">
                  <c:v>6.6824292699103633</c:v>
                </c:pt>
                <c:pt idx="70">
                  <c:v>6.8744683325724552</c:v>
                </c:pt>
                <c:pt idx="71">
                  <c:v>7.0729899607333753</c:v>
                </c:pt>
                <c:pt idx="72">
                  <c:v>7.278295377271907</c:v>
                </c:pt>
                <c:pt idx="73">
                  <c:v>7.4907047610844222</c:v>
                </c:pt>
                <c:pt idx="74">
                  <c:v>7.7105587620517904</c:v>
                </c:pt>
                <c:pt idx="75">
                  <c:v>7.9382201636578982</c:v>
                </c:pt>
                <c:pt idx="76">
                  <c:v>8.1740757103258552</c:v>
                </c:pt>
                <c:pt idx="77">
                  <c:v>8.4185381188301402</c:v>
                </c:pt>
                <c:pt idx="78">
                  <c:v>8.6720482957872136</c:v>
                </c:pt>
                <c:pt idx="79">
                  <c:v>8.935077786285424</c:v>
                </c:pt>
                <c:pt idx="80">
                  <c:v>9.2081314822590965</c:v>
                </c:pt>
                <c:pt idx="81">
                  <c:v>9.4917506233305389</c:v>
                </c:pt>
                <c:pt idx="82">
                  <c:v>9.7865161276417272</c:v>
                </c:pt>
                <c:pt idx="83">
                  <c:v>10.093052295801424</c:v>
                </c:pt>
                <c:pt idx="84">
                  <c:v>10.412030937637311</c:v>
                </c:pt>
                <c:pt idx="85">
                  <c:v>10.744175979152253</c:v>
                </c:pt>
                <c:pt idx="86">
                  <c:v>11.090268616165266</c:v>
                </c:pt>
                <c:pt idx="87">
                  <c:v>11.451153091848713</c:v>
                </c:pt>
                <c:pt idx="88">
                  <c:v>11.827743188092837</c:v>
                </c:pt>
                <c:pt idx="89">
                  <c:v>12.221029535754868</c:v>
                </c:pt>
                <c:pt idx="90">
                  <c:v>12.632087866900424</c:v>
                </c:pt>
                <c:pt idx="91">
                  <c:v>13.062088353760236</c:v>
                </c:pt>
                <c:pt idx="92">
                  <c:v>13.512306205106551</c:v>
                </c:pt>
                <c:pt idx="93">
                  <c:v>13.984133722102321</c:v>
                </c:pt>
                <c:pt idx="94">
                  <c:v>14.479094053654226</c:v>
                </c:pt>
                <c:pt idx="95">
                  <c:v>14.998856937501628</c:v>
                </c:pt>
                <c:pt idx="96">
                  <c:v>15.545256769726608</c:v>
                </c:pt>
                <c:pt idx="97">
                  <c:v>16.120313414664913</c:v>
                </c:pt>
                <c:pt idx="98">
                  <c:v>16.726256252665241</c:v>
                </c:pt>
                <c:pt idx="99">
                  <c:v>17.365552069089734</c:v>
                </c:pt>
                <c:pt idx="100">
                  <c:v>18.040937519973536</c:v>
                </c:pt>
                <c:pt idx="101">
                  <c:v>18.755457075197171</c:v>
                </c:pt>
                <c:pt idx="102">
                  <c:v>19.512507548542541</c:v>
                </c:pt>
                <c:pt idx="103">
                  <c:v>20.315890588433557</c:v>
                </c:pt>
                <c:pt idx="104">
                  <c:v>21.169874840680745</c:v>
                </c:pt>
                <c:pt idx="105">
                  <c:v>22.079269928308882</c:v>
                </c:pt>
                <c:pt idx="106">
                  <c:v>23.049514955040749</c:v>
                </c:pt>
                <c:pt idx="107">
                  <c:v>24.086784971444292</c:v>
                </c:pt>
                <c:pt idx="108">
                  <c:v>25.198119805974194</c:v>
                </c:pt>
                <c:pt idx="109">
                  <c:v>26.391580940885202</c:v>
                </c:pt>
                <c:pt idx="110">
                  <c:v>27.676443823670464</c:v>
                </c:pt>
                <c:pt idx="111">
                  <c:v>29.063435317648199</c:v>
                </c:pt>
                <c:pt idx="112">
                  <c:v>30.565029155788942</c:v>
                </c:pt>
                <c:pt idx="113">
                  <c:v>32.195816629529105</c:v>
                </c:pt>
                <c:pt idx="114">
                  <c:v>33.972975854192697</c:v>
                </c:pt>
                <c:pt idx="115">
                  <c:v>35.916871612730354</c:v>
                </c:pt>
                <c:pt idx="116">
                  <c:v>38.051830230008299</c:v>
                </c:pt>
                <c:pt idx="117">
                  <c:v>40.407152108448763</c:v>
                </c:pt>
                <c:pt idx="118">
                  <c:v>43.018451548244869</c:v>
                </c:pt>
                <c:pt idx="119">
                  <c:v>45.929454300236202</c:v>
                </c:pt>
                <c:pt idx="120">
                  <c:v>49.194446308481503</c:v>
                </c:pt>
                <c:pt idx="121">
                  <c:v>52.881666547486333</c:v>
                </c:pt>
                <c:pt idx="122">
                  <c:v>57.078097768401499</c:v>
                </c:pt>
                <c:pt idx="123">
                  <c:v>61.896376656593809</c:v>
                </c:pt>
                <c:pt idx="124">
                  <c:v>63.124930938112406</c:v>
                </c:pt>
                <c:pt idx="125">
                  <c:v>64.365558218154291</c:v>
                </c:pt>
                <c:pt idx="126">
                  <c:v>65.618258496719321</c:v>
                </c:pt>
                <c:pt idx="127">
                  <c:v>66.88303177380763</c:v>
                </c:pt>
                <c:pt idx="128">
                  <c:v>68.15987804941912</c:v>
                </c:pt>
                <c:pt idx="129">
                  <c:v>71.404813106986893</c:v>
                </c:pt>
                <c:pt idx="130">
                  <c:v>74.725204405324774</c:v>
                </c:pt>
                <c:pt idx="131">
                  <c:v>78.12105194443275</c:v>
                </c:pt>
                <c:pt idx="132">
                  <c:v>81.592355724310778</c:v>
                </c:pt>
                <c:pt idx="133">
                  <c:v>85.139115744958943</c:v>
                </c:pt>
                <c:pt idx="134">
                  <c:v>88.76133200637716</c:v>
                </c:pt>
                <c:pt idx="135">
                  <c:v>96.232133251523848</c:v>
                </c:pt>
                <c:pt idx="136">
                  <c:v>104.0047594597509</c:v>
                </c:pt>
                <c:pt idx="137">
                  <c:v>112.07921063105823</c:v>
                </c:pt>
                <c:pt idx="138">
                  <c:v>120.45548676544593</c:v>
                </c:pt>
                <c:pt idx="139">
                  <c:v>129.13358786291403</c:v>
                </c:pt>
                <c:pt idx="140">
                  <c:v>138.11351392346242</c:v>
                </c:pt>
                <c:pt idx="141">
                  <c:v>147.39526494709114</c:v>
                </c:pt>
                <c:pt idx="142">
                  <c:v>156.97884093380017</c:v>
                </c:pt>
                <c:pt idx="143">
                  <c:v>166.86424188358961</c:v>
                </c:pt>
                <c:pt idx="144">
                  <c:v>174.98987661683901</c:v>
                </c:pt>
                <c:pt idx="145">
                  <c:v>174.98987661683901</c:v>
                </c:pt>
              </c:numCache>
            </c:numRef>
          </c:xVal>
          <c:yVal>
            <c:numRef>
              <c:f>Ver130kHz!$E$214:$E$359</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22.026757883358133</c:v>
                </c:pt>
                <c:pt idx="57">
                  <c:v>22.303606436933268</c:v>
                </c:pt>
                <c:pt idx="58">
                  <c:v>22.58750284716422</c:v>
                </c:pt>
                <c:pt idx="59">
                  <c:v>22.878719714535098</c:v>
                </c:pt>
                <c:pt idx="60">
                  <c:v>23.177543881517952</c:v>
                </c:pt>
                <c:pt idx="61">
                  <c:v>23.48427737497089</c:v>
                </c:pt>
                <c:pt idx="62">
                  <c:v>23.799238424370419</c:v>
                </c:pt>
                <c:pt idx="63">
                  <c:v>24.122762563094199</c:v>
                </c:pt>
                <c:pt idx="64">
                  <c:v>24.455203820765959</c:v>
                </c:pt>
                <c:pt idx="65">
                  <c:v>24.796936015569976</c:v>
                </c:pt>
                <c:pt idx="66">
                  <c:v>25.148354156452349</c:v>
                </c:pt>
                <c:pt idx="67">
                  <c:v>25.509875966266939</c:v>
                </c:pt>
                <c:pt idx="68">
                  <c:v>25.881943538213928</c:v>
                </c:pt>
                <c:pt idx="69">
                  <c:v>26.265025139381205</c:v>
                </c:pt>
                <c:pt idx="70">
                  <c:v>26.659617176858553</c:v>
                </c:pt>
                <c:pt idx="71">
                  <c:v>27.066246343782272</c:v>
                </c:pt>
                <c:pt idx="72">
                  <c:v>27.485471964818597</c:v>
                </c:pt>
                <c:pt idx="73">
                  <c:v>27.917888563049853</c:v>
                </c:pt>
                <c:pt idx="74">
                  <c:v>28.364128673035488</c:v>
                </c:pt>
                <c:pt idx="75">
                  <c:v>28.824865928039575</c:v>
                </c:pt>
                <c:pt idx="76">
                  <c:v>29.300818453113759</c:v>
                </c:pt>
                <c:pt idx="77">
                  <c:v>29.792752599980972</c:v>
                </c:pt>
                <c:pt idx="78">
                  <c:v>30.301487064575266</c:v>
                </c:pt>
                <c:pt idx="79">
                  <c:v>30.82789743377182</c:v>
                </c:pt>
                <c:pt idx="80">
                  <c:v>31.372921214422043</c:v>
                </c:pt>
                <c:pt idx="81">
                  <c:v>31.937563405456757</c:v>
                </c:pt>
                <c:pt idx="82">
                  <c:v>32.522902682729509</c:v>
                </c:pt>
                <c:pt idx="83">
                  <c:v>33.130098276678069</c:v>
                </c:pt>
                <c:pt idx="84">
                  <c:v>33.76039763506995</c:v>
                </c:pt>
                <c:pt idx="85">
                  <c:v>34.415144977413249</c:v>
                </c:pt>
                <c:pt idx="86">
                  <c:v>35.095790864477152</c:v>
                </c:pt>
                <c:pt idx="87">
                  <c:v>35.803902926292089</c:v>
                </c:pt>
                <c:pt idx="88">
                  <c:v>36.54117791561751</c:v>
                </c:pt>
                <c:pt idx="89">
                  <c:v>37.309455281952879</c:v>
                </c:pt>
                <c:pt idx="90">
                  <c:v>38.11073249468371</c:v>
                </c:pt>
                <c:pt idx="91">
                  <c:v>38.947182384091214</c:v>
                </c:pt>
                <c:pt idx="92">
                  <c:v>39.821172817197386</c:v>
                </c:pt>
                <c:pt idx="93">
                  <c:v>40.735289083627144</c:v>
                </c:pt>
                <c:pt idx="94">
                  <c:v>41.692359437188173</c:v>
                </c:pt>
                <c:pt idx="95">
                  <c:v>42.695484324657897</c:v>
                </c:pt>
                <c:pt idx="96">
                  <c:v>43.748069938090964</c:v>
                </c:pt>
                <c:pt idx="97">
                  <c:v>44.853866855630855</c:v>
                </c:pt>
                <c:pt idx="98">
                  <c:v>46.017014694508909</c:v>
                </c:pt>
                <c:pt idx="99">
                  <c:v>47.242093896639055</c:v>
                </c:pt>
                <c:pt idx="100">
                  <c:v>48.534186012366021</c:v>
                </c:pt>
                <c:pt idx="101">
                  <c:v>49.8989441551144</c:v>
                </c:pt>
                <c:pt idx="102">
                  <c:v>51.342675686870059</c:v>
                </c:pt>
                <c:pt idx="103">
                  <c:v>52.872439685431154</c:v>
                </c:pt>
                <c:pt idx="104">
                  <c:v>54.496162371086768</c:v>
                </c:pt>
                <c:pt idx="105">
                  <c:v>56.222774475805288</c:v>
                </c:pt>
                <c:pt idx="106">
                  <c:v>58.062375580623716</c:v>
                </c:pt>
                <c:pt idx="107">
                  <c:v>60.026431806946903</c:v>
                </c:pt>
                <c:pt idx="108">
                  <c:v>62.128015036023768</c:v>
                </c:pt>
                <c:pt idx="109">
                  <c:v>64.38209420344738</c:v>
                </c:pt>
                <c:pt idx="110">
                  <c:v>66.805892391987754</c:v>
                </c:pt>
                <c:pt idx="111">
                  <c:v>69.419327740896691</c:v>
                </c:pt>
                <c:pt idx="112">
                  <c:v>72.245562058330648</c:v>
                </c:pt>
                <c:pt idx="113">
                  <c:v>75.311689133599103</c:v>
                </c:pt>
                <c:pt idx="114">
                  <c:v>78.649606091048369</c:v>
                </c:pt>
                <c:pt idx="115">
                  <c:v>82.297127207845165</c:v>
                </c:pt>
                <c:pt idx="116">
                  <c:v>86.299422736634369</c:v>
                </c:pt>
                <c:pt idx="117">
                  <c:v>90.710899028859785</c:v>
                </c:pt>
                <c:pt idx="118">
                  <c:v>95.597686375321189</c:v>
                </c:pt>
                <c:pt idx="119">
                  <c:v>101.04097678604779</c:v>
                </c:pt>
                <c:pt idx="120">
                  <c:v>107.14157092952043</c:v>
                </c:pt>
                <c:pt idx="121">
                  <c:v>114.02617811080658</c:v>
                </c:pt>
                <c:pt idx="122">
                  <c:v>121.85631195215844</c:v>
                </c:pt>
                <c:pt idx="123">
                  <c:v>130.8411214953272</c:v>
                </c:pt>
                <c:pt idx="124">
                  <c:v>130.84112149532709</c:v>
                </c:pt>
                <c:pt idx="125">
                  <c:v>130.84112149532709</c:v>
                </c:pt>
                <c:pt idx="126">
                  <c:v>130.84112149532709</c:v>
                </c:pt>
                <c:pt idx="127">
                  <c:v>130.84112149532709</c:v>
                </c:pt>
                <c:pt idx="128">
                  <c:v>130.84112149532709</c:v>
                </c:pt>
                <c:pt idx="129">
                  <c:v>130.84112149532709</c:v>
                </c:pt>
                <c:pt idx="130">
                  <c:v>130.84112149532709</c:v>
                </c:pt>
                <c:pt idx="131">
                  <c:v>130.84112149532709</c:v>
                </c:pt>
                <c:pt idx="132">
                  <c:v>130.84112149532709</c:v>
                </c:pt>
                <c:pt idx="133">
                  <c:v>130.84112149532709</c:v>
                </c:pt>
                <c:pt idx="134">
                  <c:v>130.84112149532709</c:v>
                </c:pt>
                <c:pt idx="135">
                  <c:v>130.84112149532709</c:v>
                </c:pt>
                <c:pt idx="136">
                  <c:v>130.84112149532709</c:v>
                </c:pt>
                <c:pt idx="137">
                  <c:v>130.84112149532709</c:v>
                </c:pt>
                <c:pt idx="138">
                  <c:v>130.84112149532709</c:v>
                </c:pt>
                <c:pt idx="139">
                  <c:v>130.84112149532709</c:v>
                </c:pt>
                <c:pt idx="140">
                  <c:v>130.84112149532709</c:v>
                </c:pt>
                <c:pt idx="141">
                  <c:v>130.84112149532709</c:v>
                </c:pt>
                <c:pt idx="142">
                  <c:v>130.84112149532709</c:v>
                </c:pt>
                <c:pt idx="143">
                  <c:v>130.84112149532709</c:v>
                </c:pt>
                <c:pt idx="144">
                  <c:v>130.84112149532709</c:v>
                </c:pt>
                <c:pt idx="145">
                  <c:v>130.84112149532709</c:v>
                </c:pt>
              </c:numCache>
            </c:numRef>
          </c:yVal>
          <c:smooth val="0"/>
        </c:ser>
        <c:ser>
          <c:idx val="8"/>
          <c:order val="1"/>
          <c:tx>
            <c:strRef>
              <c:f>Ver130kHz!$K$60</c:f>
              <c:strCache>
                <c:ptCount val="1"/>
                <c:pt idx="0">
                  <c:v>Peak at 180VAC </c:v>
                </c:pt>
              </c:strCache>
            </c:strRef>
          </c:tx>
          <c:spPr>
            <a:ln>
              <a:solidFill>
                <a:srgbClr val="3333FF"/>
              </a:solidFill>
            </a:ln>
          </c:spPr>
          <c:marker>
            <c:symbol val="none"/>
          </c:marker>
          <c:xVal>
            <c:numRef>
              <c:f>Ver130kHz!$N$62:$N$207</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4.6603301964424659</c:v>
                </c:pt>
                <c:pt idx="57">
                  <c:v>4.7293604546039614</c:v>
                </c:pt>
                <c:pt idx="58">
                  <c:v>4.8175556403073871</c:v>
                </c:pt>
                <c:pt idx="59">
                  <c:v>4.9494736116106264</c:v>
                </c:pt>
                <c:pt idx="60">
                  <c:v>5.0852815426611384</c:v>
                </c:pt>
                <c:pt idx="61">
                  <c:v>5.22513030828976</c:v>
                </c:pt>
                <c:pt idx="62">
                  <c:v>5.3691786879044212</c:v>
                </c:pt>
                <c:pt idx="63">
                  <c:v>5.517593890027495</c:v>
                </c:pt>
                <c:pt idx="64">
                  <c:v>5.6705521191640953</c:v>
                </c:pt>
                <c:pt idx="65">
                  <c:v>5.8282391890411747</c:v>
                </c:pt>
                <c:pt idx="66">
                  <c:v>5.9908511867040177</c:v>
                </c:pt>
                <c:pt idx="67">
                  <c:v>6.1585951924597548</c:v>
                </c:pt>
                <c:pt idx="68">
                  <c:v>6.3316900612249984</c:v>
                </c:pt>
                <c:pt idx="69">
                  <c:v>6.5103672714757099</c:v>
                </c:pt>
                <c:pt idx="70">
                  <c:v>6.6948718487228973</c:v>
                </c:pt>
                <c:pt idx="71">
                  <c:v>6.8854633712602418</c:v>
                </c:pt>
                <c:pt idx="72">
                  <c:v>7.0824170668636182</c:v>
                </c:pt>
                <c:pt idx="73">
                  <c:v>7.2860250101851713</c:v>
                </c:pt>
                <c:pt idx="74">
                  <c:v>7.4965974317958937</c:v>
                </c:pt>
                <c:pt idx="75">
                  <c:v>7.7144641512138383</c:v>
                </c:pt>
                <c:pt idx="76">
                  <c:v>7.9399761478382498</c:v>
                </c:pt>
                <c:pt idx="77">
                  <c:v>8.1735072855251421</c:v>
                </c:pt>
                <c:pt idx="78">
                  <c:v>8.4154562086255762</c:v>
                </c:pt>
                <c:pt idx="79">
                  <c:v>8.6662484297106204</c:v>
                </c:pt>
                <c:pt idx="80">
                  <c:v>8.9263386319793891</c:v>
                </c:pt>
                <c:pt idx="81">
                  <c:v>9.1962132125547473</c:v>
                </c:pt>
                <c:pt idx="82">
                  <c:v>9.47639309659173</c:v>
                </c:pt>
                <c:pt idx="83">
                  <c:v>9.7674368564488958</c:v>
                </c:pt>
                <c:pt idx="84">
                  <c:v>10.069944175214506</c:v>
                </c:pt>
                <c:pt idx="85">
                  <c:v>10.384559699771744</c:v>
                </c:pt>
                <c:pt idx="86">
                  <c:v>10.711977335492099</c:v>
                </c:pt>
                <c:pt idx="87">
                  <c:v>11.052945042761651</c:v>
                </c:pt>
                <c:pt idx="88">
                  <c:v>11.408270205111279</c:v>
                </c:pt>
                <c:pt idx="89">
                  <c:v>11.778825650032294</c:v>
                </c:pt>
                <c:pt idx="90">
                  <c:v>12.165556416975674</c:v>
                </c:pt>
                <c:pt idx="91">
                  <c:v>12.569487382999439</c:v>
                </c:pt>
                <c:pt idx="92">
                  <c:v>12.99173187559555</c:v>
                </c:pt>
                <c:pt idx="93">
                  <c:v>13.433501425079001</c:v>
                </c:pt>
                <c:pt idx="94">
                  <c:v>13.896116836410133</c:v>
                </c:pt>
                <c:pt idx="95">
                  <c:v>14.381020793516706</c:v>
                </c:pt>
                <c:pt idx="96">
                  <c:v>14.889792249433089</c:v>
                </c:pt>
                <c:pt idx="97">
                  <c:v>15.424162904585369</c:v>
                </c:pt>
                <c:pt idx="98">
                  <c:v>15.986036135495375</c:v>
                </c:pt>
                <c:pt idx="99">
                  <c:v>16.577508809831539</c:v>
                </c:pt>
                <c:pt idx="100">
                  <c:v>17.200896514676156</c:v>
                </c:pt>
                <c:pt idx="101">
                  <c:v>17.858762837733895</c:v>
                </c:pt>
                <c:pt idx="102">
                  <c:v>18.553953482007067</c:v>
                </c:pt>
                <c:pt idx="103">
                  <c:v>19.289636171111081</c:v>
                </c:pt>
                <c:pt idx="104">
                  <c:v>20.069347525339573</c:v>
                </c:pt>
                <c:pt idx="105">
                  <c:v>20.89704837168857</c:v>
                </c:pt>
                <c:pt idx="106">
                  <c:v>21.777189312916093</c:v>
                </c:pt>
                <c:pt idx="107">
                  <c:v>22.714788846470594</c:v>
                </c:pt>
                <c:pt idx="108">
                  <c:v>23.71552692800411</c:v>
                </c:pt>
                <c:pt idx="109">
                  <c:v>24.785857663257261</c:v>
                </c:pt>
                <c:pt idx="110">
                  <c:v>25.933145851689524</c:v>
                </c:pt>
                <c:pt idx="111">
                  <c:v>27.16583348693425</c:v>
                </c:pt>
                <c:pt idx="112">
                  <c:v>28.493644172826102</c:v>
                </c:pt>
                <c:pt idx="113">
                  <c:v>29.927835925575394</c:v>
                </c:pt>
                <c:pt idx="114">
                  <c:v>31.481516272958608</c:v>
                </c:pt>
                <c:pt idx="115">
                  <c:v>33.170038327822198</c:v>
                </c:pt>
                <c:pt idx="116">
                  <c:v>35.011503199154205</c:v>
                </c:pt>
                <c:pt idx="117">
                  <c:v>37.02740360862952</c:v>
                </c:pt>
                <c:pt idx="118">
                  <c:v>39.243457289104711</c:v>
                </c:pt>
                <c:pt idx="119">
                  <c:v>41.690698826829426</c:v>
                </c:pt>
                <c:pt idx="120">
                  <c:v>44.406928546544457</c:v>
                </c:pt>
                <c:pt idx="121">
                  <c:v>47.438662507256744</c:v>
                </c:pt>
                <c:pt idx="122">
                  <c:v>50.843798176615586</c:v>
                </c:pt>
                <c:pt idx="123">
                  <c:v>51.281814526680861</c:v>
                </c:pt>
                <c:pt idx="124">
                  <c:v>51.99165405830253</c:v>
                </c:pt>
                <c:pt idx="125">
                  <c:v>52.7030664990112</c:v>
                </c:pt>
                <c:pt idx="126">
                  <c:v>53.416024380350244</c:v>
                </c:pt>
                <c:pt idx="127">
                  <c:v>54.130500869754414</c:v>
                </c:pt>
                <c:pt idx="128">
                  <c:v>54.846469752254436</c:v>
                </c:pt>
                <c:pt idx="129">
                  <c:v>56.642754509924238</c:v>
                </c:pt>
                <c:pt idx="130">
                  <c:v>58.447823592752066</c:v>
                </c:pt>
                <c:pt idx="131">
                  <c:v>60.261313585863803</c:v>
                </c:pt>
                <c:pt idx="132">
                  <c:v>62.082880848070175</c:v>
                </c:pt>
                <c:pt idx="133">
                  <c:v>63.91220018503833</c:v>
                </c:pt>
                <c:pt idx="134">
                  <c:v>65.748963627885843</c:v>
                </c:pt>
                <c:pt idx="135">
                  <c:v>69.443670416303533</c:v>
                </c:pt>
                <c:pt idx="136">
                  <c:v>73.164841314269211</c:v>
                </c:pt>
                <c:pt idx="137">
                  <c:v>76.910528398733234</c:v>
                </c:pt>
                <c:pt idx="138">
                  <c:v>80.678970340816988</c:v>
                </c:pt>
                <c:pt idx="139">
                  <c:v>84.468570585723157</c:v>
                </c:pt>
                <c:pt idx="140">
                  <c:v>88.277878524607814</c:v>
                </c:pt>
                <c:pt idx="141">
                  <c:v>92.105573190475553</c:v>
                </c:pt>
                <c:pt idx="142">
                  <c:v>95.950449091970455</c:v>
                </c:pt>
                <c:pt idx="143">
                  <c:v>99.811403865001935</c:v>
                </c:pt>
                <c:pt idx="144">
                  <c:v>102.9110628737979</c:v>
                </c:pt>
                <c:pt idx="145">
                  <c:v>102.9110628737979</c:v>
                </c:pt>
              </c:numCache>
            </c:numRef>
          </c:xVal>
          <c:yVal>
            <c:numRef>
              <c:f>Ver130kHz!$M$62:$M$207</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c:v>
                </c:pt>
                <c:pt idx="57">
                  <c:v>22</c:v>
                </c:pt>
                <c:pt idx="58">
                  <c:v>22.085532855961478</c:v>
                </c:pt>
                <c:pt idx="59">
                  <c:v>22.363870170002745</c:v>
                </c:pt>
                <c:pt idx="60">
                  <c:v>22.649312630621786</c:v>
                </c:pt>
                <c:pt idx="61">
                  <c:v>22.942135815937053</c:v>
                </c:pt>
                <c:pt idx="62">
                  <c:v>23.242629742051577</c:v>
                </c:pt>
                <c:pt idx="63">
                  <c:v>23.551099821138678</c:v>
                </c:pt>
                <c:pt idx="64">
                  <c:v>23.867867896846569</c:v>
                </c:pt>
                <c:pt idx="65">
                  <c:v>24.193273364400898</c:v>
                </c:pt>
                <c:pt idx="66">
                  <c:v>24.527674383600029</c:v>
                </c:pt>
                <c:pt idx="67">
                  <c:v>24.871449193816897</c:v>
                </c:pt>
                <c:pt idx="68">
                  <c:v>25.224997541157588</c:v>
                </c:pt>
                <c:pt idx="69">
                  <c:v>25.588742229097747</c:v>
                </c:pt>
                <c:pt idx="70">
                  <c:v>25.963130805243047</c:v>
                </c:pt>
                <c:pt idx="71">
                  <c:v>26.348637398362126</c:v>
                </c:pt>
                <c:pt idx="72">
                  <c:v>26.745764721546333</c:v>
                </c:pt>
                <c:pt idx="73">
                  <c:v>27.155046259291666</c:v>
                </c:pt>
                <c:pt idx="74">
                  <c:v>27.577048658510424</c:v>
                </c:pt>
                <c:pt idx="75">
                  <c:v>28.012374346007061</c:v>
                </c:pt>
                <c:pt idx="76">
                  <c:v>28.461664397843911</c:v>
                </c:pt>
                <c:pt idx="77">
                  <c:v>28.925601689338372</c:v>
                </c:pt>
                <c:pt idx="78">
                  <c:v>29.404914358242689</c:v>
                </c:pt>
                <c:pt idx="79">
                  <c:v>29.900379618046088</c:v>
                </c:pt>
                <c:pt idx="80">
                  <c:v>30.412827963403025</c:v>
                </c:pt>
                <c:pt idx="81">
                  <c:v>30.943147815551129</c:v>
                </c:pt>
                <c:pt idx="82">
                  <c:v>31.492290662377933</c:v>
                </c:pt>
                <c:pt idx="83">
                  <c:v>32.061276755695708</c:v>
                </c:pt>
                <c:pt idx="84">
                  <c:v>32.651201437492347</c:v>
                </c:pt>
                <c:pt idx="85">
                  <c:v>33.263242177688753</c:v>
                </c:pt>
                <c:pt idx="86">
                  <c:v>33.898666418545439</c:v>
                </c:pt>
                <c:pt idx="87">
                  <c:v>34.558840335684494</c:v>
                </c:pt>
                <c:pt idx="88">
                  <c:v>35.245238643165699</c:v>
                </c:pt>
                <c:pt idx="89">
                  <c:v>35.959455590715478</c:v>
                </c:pt>
                <c:pt idx="90">
                  <c:v>36.703217325712536</c:v>
                </c:pt>
                <c:pt idx="91">
                  <c:v>37.478395821697596</c:v>
                </c:pt>
                <c:pt idx="92">
                  <c:v>38.287024610000898</c:v>
                </c:pt>
                <c:pt idx="93">
                  <c:v>39.13131659281958</c:v>
                </c:pt>
                <c:pt idx="94">
                  <c:v>40.013684266285601</c:v>
                </c:pt>
                <c:pt idx="95">
                  <c:v>40.936762742697844</c:v>
                </c:pt>
                <c:pt idx="96">
                  <c:v>41.903436034611062</c:v>
                </c:pt>
                <c:pt idx="97">
                  <c:v>42.916867152995955</c:v>
                </c:pt>
                <c:pt idx="98">
                  <c:v>43.980532681174395</c:v>
                </c:pt>
                <c:pt idx="99">
                  <c:v>45.098262620767592</c:v>
                </c:pt>
                <c:pt idx="100">
                  <c:v>46.274286472002345</c:v>
                </c:pt>
                <c:pt idx="101">
                  <c:v>47.513286716855333</c:v>
                </c:pt>
                <c:pt idx="102">
                  <c:v>48.820461130692351</c:v>
                </c:pt>
                <c:pt idx="103">
                  <c:v>50.201595670712834</c:v>
                </c:pt>
                <c:pt idx="104">
                  <c:v>51.663150096710936</c:v>
                </c:pt>
                <c:pt idx="105">
                  <c:v>53.212358996755519</c:v>
                </c:pt>
                <c:pt idx="106">
                  <c:v>54.857351551354753</c:v>
                </c:pt>
                <c:pt idx="107">
                  <c:v>56.607294220392077</c:v>
                </c:pt>
                <c:pt idx="108">
                  <c:v>58.472561640132355</c:v>
                </c:pt>
                <c:pt idx="109">
                  <c:v>60.464942458863682</c:v>
                </c:pt>
                <c:pt idx="110">
                  <c:v>62.597888738580387</c:v>
                </c:pt>
                <c:pt idx="111">
                  <c:v>64.886820073846522</c:v>
                </c:pt>
                <c:pt idx="112">
                  <c:v>67.349496964769543</c:v>
                </c:pt>
                <c:pt idx="113">
                  <c:v>70.006482568951654</c:v>
                </c:pt>
                <c:pt idx="114">
                  <c:v>72.88171824110465</c:v>
                </c:pt>
                <c:pt idx="115">
                  <c:v>76.003246975060463</c:v>
                </c:pt>
                <c:pt idx="116">
                  <c:v>79.404131075042287</c:v>
                </c:pt>
                <c:pt idx="117">
                  <c:v>83.123627743637471</c:v>
                </c:pt>
                <c:pt idx="118">
                  <c:v>87.208711313092522</c:v>
                </c:pt>
                <c:pt idx="119">
                  <c:v>91.716067533032231</c:v>
                </c:pt>
                <c:pt idx="120">
                  <c:v>96.714740009411429</c:v>
                </c:pt>
                <c:pt idx="121">
                  <c:v>102.28969193952193</c:v>
                </c:pt>
                <c:pt idx="122">
                  <c:v>108.54667505882031</c:v>
                </c:pt>
                <c:pt idx="123">
                  <c:v>108.4032779852792</c:v>
                </c:pt>
                <c:pt idx="124">
                  <c:v>107.76481216359161</c:v>
                </c:pt>
                <c:pt idx="125">
                  <c:v>107.13382308596974</c:v>
                </c:pt>
                <c:pt idx="126">
                  <c:v>106.51018018248969</c:v>
                </c:pt>
                <c:pt idx="127">
                  <c:v>105.89375590590458</c:v>
                </c:pt>
                <c:pt idx="128">
                  <c:v>105.28442564467973</c:v>
                </c:pt>
                <c:pt idx="129">
                  <c:v>103.79134405909961</c:v>
                </c:pt>
                <c:pt idx="130">
                  <c:v>102.34001832040195</c:v>
                </c:pt>
                <c:pt idx="131">
                  <c:v>100.92872095429978</c:v>
                </c:pt>
                <c:pt idx="132">
                  <c:v>99.555818479720472</c:v>
                </c:pt>
                <c:pt idx="133">
                  <c:v>98.219765101793385</c:v>
                </c:pt>
                <c:pt idx="134">
                  <c:v>96.919096905958824</c:v>
                </c:pt>
                <c:pt idx="135">
                  <c:v>94.418438114351403</c:v>
                </c:pt>
                <c:pt idx="136">
                  <c:v>92.043575133610076</c:v>
                </c:pt>
                <c:pt idx="137">
                  <c:v>89.785248609699693</c:v>
                </c:pt>
                <c:pt idx="138">
                  <c:v>87.635086154571709</c:v>
                </c:pt>
                <c:pt idx="139">
                  <c:v>85.585498625468276</c:v>
                </c:pt>
                <c:pt idx="140">
                  <c:v>83.629590626365101</c:v>
                </c:pt>
                <c:pt idx="141">
                  <c:v>81.761083007229828</c:v>
                </c:pt>
                <c:pt idx="142">
                  <c:v>79.974245525662809</c:v>
                </c:pt>
                <c:pt idx="143">
                  <c:v>78.263838149521575</c:v>
                </c:pt>
                <c:pt idx="144">
                  <c:v>76.947301986886018</c:v>
                </c:pt>
                <c:pt idx="145">
                  <c:v>76.947301986886018</c:v>
                </c:pt>
              </c:numCache>
            </c:numRef>
          </c:yVal>
          <c:smooth val="1"/>
        </c:ser>
        <c:ser>
          <c:idx val="3"/>
          <c:order val="2"/>
          <c:tx>
            <c:strRef>
              <c:f>Ver130kHz!$G$25</c:f>
              <c:strCache>
                <c:ptCount val="1"/>
                <c:pt idx="0">
                  <c:v>peak at 230VAC</c:v>
                </c:pt>
              </c:strCache>
            </c:strRef>
          </c:tx>
          <c:spPr>
            <a:ln>
              <a:solidFill>
                <a:srgbClr val="CC00CC"/>
              </a:solidFill>
              <a:prstDash val="solid"/>
            </a:ln>
          </c:spPr>
          <c:marker>
            <c:symbol val="none"/>
          </c:marker>
          <c:xVal>
            <c:numRef>
              <c:f>Ver130kHz!$V$62:$V$207</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4.6603301964424659</c:v>
                </c:pt>
                <c:pt idx="57">
                  <c:v>4.7293604546039614</c:v>
                </c:pt>
                <c:pt idx="58">
                  <c:v>4.7988982098819495</c:v>
                </c:pt>
                <c:pt idx="59">
                  <c:v>4.9108229888559425</c:v>
                </c:pt>
                <c:pt idx="60">
                  <c:v>5.0450675434899441</c:v>
                </c:pt>
                <c:pt idx="61">
                  <c:v>5.1832804676229944</c:v>
                </c:pt>
                <c:pt idx="62">
                  <c:v>5.3256164281031939</c:v>
                </c:pt>
                <c:pt idx="63">
                  <c:v>5.4722382350755785</c:v>
                </c:pt>
                <c:pt idx="64">
                  <c:v>5.623317385067053</c:v>
                </c:pt>
                <c:pt idx="65">
                  <c:v>5.7790346481215167</c:v>
                </c:pt>
                <c:pt idx="66">
                  <c:v>5.9395807032108179</c:v>
                </c:pt>
                <c:pt idx="67">
                  <c:v>6.1051568266167697</c:v>
                </c:pt>
                <c:pt idx="68">
                  <c:v>6.2759756385087684</c:v>
                </c:pt>
                <c:pt idx="69">
                  <c:v>6.4522619135388455</c:v>
                </c:pt>
                <c:pt idx="70">
                  <c:v>6.6342534619512188</c:v>
                </c:pt>
                <c:pt idx="71">
                  <c:v>6.8222020884682104</c:v>
                </c:pt>
                <c:pt idx="72">
                  <c:v>7.0163746370816389</c:v>
                </c:pt>
                <c:pt idx="73">
                  <c:v>7.2170541308647014</c:v>
                </c:pt>
                <c:pt idx="74">
                  <c:v>7.4245410170416815</c:v>
                </c:pt>
                <c:pt idx="75">
                  <c:v>7.6391545288329024</c:v>
                </c:pt>
                <c:pt idx="76">
                  <c:v>7.8612341770556604</c:v>
                </c:pt>
                <c:pt idx="77">
                  <c:v>8.0911413861375188</c:v>
                </c:pt>
                <c:pt idx="78">
                  <c:v>8.3292612911211581</c:v>
                </c:pt>
                <c:pt idx="79">
                  <c:v>8.5760047144519529</c:v>
                </c:pt>
                <c:pt idx="80">
                  <c:v>8.8318103438881597</c:v>
                </c:pt>
                <c:pt idx="81">
                  <c:v>9.0971471358186431</c:v>
                </c:pt>
                <c:pt idx="82">
                  <c:v>9.3725169716831651</c:v>
                </c:pt>
                <c:pt idx="83">
                  <c:v>9.6584575991484716</c:v>
                </c:pt>
                <c:pt idx="84">
                  <c:v>9.9555458942998687</c:v>
                </c:pt>
                <c:pt idx="85">
                  <c:v>10.264401486482658</c:v>
                </c:pt>
                <c:pt idx="86">
                  <c:v>10.585690793715232</c:v>
                </c:pt>
                <c:pt idx="87">
                  <c:v>10.92013152397227</c:v>
                </c:pt>
                <c:pt idx="88">
                  <c:v>11.268497706315477</c:v>
                </c:pt>
                <c:pt idx="89">
                  <c:v>11.631625326090999</c:v>
                </c:pt>
                <c:pt idx="90">
                  <c:v>12.010418650537265</c:v>
                </c:pt>
                <c:pt idx="91">
                  <c:v>12.405857345545449</c:v>
                </c:pt>
                <c:pt idx="92">
                  <c:v>12.819004501472687</c:v>
                </c:pt>
                <c:pt idx="93">
                  <c:v>13.251015706424461</c:v>
                </c:pt>
                <c:pt idx="94">
                  <c:v>13.703149330045333</c:v>
                </c:pt>
                <c:pt idx="95">
                  <c:v>14.176778210518666</c:v>
                </c:pt>
                <c:pt idx="96">
                  <c:v>14.673402973350566</c:v>
                </c:pt>
                <c:pt idx="97">
                  <c:v>15.194667254079606</c:v>
                </c:pt>
                <c:pt idx="98">
                  <c:v>15.742375150190256</c:v>
                </c:pt>
                <c:pt idx="99">
                  <c:v>16.318511292608061</c:v>
                </c:pt>
                <c:pt idx="100">
                  <c:v>16.925264007288796</c:v>
                </c:pt>
                <c:pt idx="101">
                  <c:v>17.565052136539865</c:v>
                </c:pt>
                <c:pt idx="102">
                  <c:v>18.240556212969402</c:v>
                </c:pt>
                <c:pt idx="103">
                  <c:v>18.954754833051698</c:v>
                </c:pt>
                <c:pt idx="104">
                  <c:v>19.710967271047554</c:v>
                </c:pt>
                <c:pt idx="105">
                  <c:v>20.512903619094633</c:v>
                </c:pt>
                <c:pt idx="106">
                  <c:v>21.364724051255301</c:v>
                </c:pt>
                <c:pt idx="107">
                  <c:v>22.271109209098306</c:v>
                </c:pt>
                <c:pt idx="108">
                  <c:v>23.237344222350515</c:v>
                </c:pt>
                <c:pt idx="109">
                  <c:v>24.269419549044329</c:v>
                </c:pt>
                <c:pt idx="110">
                  <c:v>25.374152698879062</c:v>
                </c:pt>
                <c:pt idx="111">
                  <c:v>26.559336065715264</c:v>
                </c:pt>
                <c:pt idx="112">
                  <c:v>27.833917645113871</c:v>
                </c:pt>
                <c:pt idx="113">
                  <c:v>29.208223499928657</c:v>
                </c:pt>
                <c:pt idx="114">
                  <c:v>30.694233676235282</c:v>
                </c:pt>
                <c:pt idx="115">
                  <c:v>32.305927177101303</c:v>
                </c:pt>
                <c:pt idx="116">
                  <c:v>34.059717036873707</c:v>
                </c:pt>
                <c:pt idx="117">
                  <c:v>35.975004200089806</c:v>
                </c:pt>
                <c:pt idx="118">
                  <c:v>38.074889858299585</c:v>
                </c:pt>
                <c:pt idx="119">
                  <c:v>40.387101781173101</c:v>
                </c:pt>
                <c:pt idx="120">
                  <c:v>42.945213595774334</c:v>
                </c:pt>
                <c:pt idx="121">
                  <c:v>45.790271112012825</c:v>
                </c:pt>
                <c:pt idx="122">
                  <c:v>48.972993572158174</c:v>
                </c:pt>
                <c:pt idx="123">
                  <c:v>52.556801785277472</c:v>
                </c:pt>
                <c:pt idx="124">
                  <c:v>53.599978903939217</c:v>
                </c:pt>
                <c:pt idx="125">
                  <c:v>54.653407320408931</c:v>
                </c:pt>
                <c:pt idx="126">
                  <c:v>55.717087034686536</c:v>
                </c:pt>
                <c:pt idx="127">
                  <c:v>56.791018046772116</c:v>
                </c:pt>
                <c:pt idx="128">
                  <c:v>57.875200356665594</c:v>
                </c:pt>
                <c:pt idx="129">
                  <c:v>60.323570600855106</c:v>
                </c:pt>
                <c:pt idx="130">
                  <c:v>62.288424593394268</c:v>
                </c:pt>
                <c:pt idx="131">
                  <c:v>64.263732424014805</c:v>
                </c:pt>
                <c:pt idx="132">
                  <c:v>66.249087491582728</c:v>
                </c:pt>
                <c:pt idx="133">
                  <c:v>68.244104011368222</c:v>
                </c:pt>
                <c:pt idx="134">
                  <c:v>70.248415699731183</c:v>
                </c:pt>
                <c:pt idx="135">
                  <c:v>74.283549742106047</c:v>
                </c:pt>
                <c:pt idx="136">
                  <c:v>78.351905321083805</c:v>
                </c:pt>
                <c:pt idx="137">
                  <c:v>82.451140993037455</c:v>
                </c:pt>
                <c:pt idx="138">
                  <c:v>86.579130296022868</c:v>
                </c:pt>
                <c:pt idx="139">
                  <c:v>90.733937630010601</c:v>
                </c:pt>
                <c:pt idx="140">
                  <c:v>94.913797313177085</c:v>
                </c:pt>
                <c:pt idx="141">
                  <c:v>99.117095336812028</c:v>
                </c:pt>
                <c:pt idx="142">
                  <c:v>103.34235342169713</c:v>
                </c:pt>
                <c:pt idx="143">
                  <c:v>107.58821504423361</c:v>
                </c:pt>
                <c:pt idx="144">
                  <c:v>110.99889747642061</c:v>
                </c:pt>
                <c:pt idx="145">
                  <c:v>110.99889747642061</c:v>
                </c:pt>
              </c:numCache>
            </c:numRef>
          </c:xVal>
          <c:yVal>
            <c:numRef>
              <c:f>Ver130kHz!$U$62:$U$207</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c:v>
                </c:pt>
                <c:pt idx="57">
                  <c:v>22</c:v>
                </c:pt>
                <c:pt idx="58">
                  <c:v>22</c:v>
                </c:pt>
                <c:pt idx="59">
                  <c:v>22.189229879518557</c:v>
                </c:pt>
                <c:pt idx="60">
                  <c:v>22.4702036802687</c:v>
                </c:pt>
                <c:pt idx="61">
                  <c:v>22.758384469692349</c:v>
                </c:pt>
                <c:pt idx="62">
                  <c:v>23.054053139531728</c:v>
                </c:pt>
                <c:pt idx="63">
                  <c:v>23.357505370638009</c:v>
                </c:pt>
                <c:pt idx="64">
                  <c:v>23.669052619272314</c:v>
                </c:pt>
                <c:pt idx="65">
                  <c:v>23.989023183406701</c:v>
                </c:pt>
                <c:pt idx="66">
                  <c:v>24.317763356699224</c:v>
                </c:pt>
                <c:pt idx="67">
                  <c:v>24.65563867867025</c:v>
                </c:pt>
                <c:pt idx="68">
                  <c:v>25.00303529056821</c:v>
                </c:pt>
                <c:pt idx="69">
                  <c:v>25.360361407497972</c:v>
                </c:pt>
                <c:pt idx="70">
                  <c:v>25.728048918611247</c:v>
                </c:pt>
                <c:pt idx="71">
                  <c:v>26.106555128547161</c:v>
                </c:pt>
                <c:pt idx="72">
                  <c:v>26.496364654886566</c:v>
                </c:pt>
                <c:pt idx="73">
                  <c:v>26.897991498173877</c:v>
                </c:pt>
                <c:pt idx="74">
                  <c:v>27.311981303098399</c:v>
                </c:pt>
                <c:pt idx="75">
                  <c:v>27.738913831752257</c:v>
                </c:pt>
                <c:pt idx="76">
                  <c:v>28.179405672539168</c:v>
                </c:pt>
                <c:pt idx="77">
                  <c:v>28.634113211351725</c:v>
                </c:pt>
                <c:pt idx="78">
                  <c:v>29.103735895126768</c:v>
                </c:pt>
                <c:pt idx="79">
                  <c:v>29.589019821905662</c:v>
                </c:pt>
                <c:pt idx="80">
                  <c:v>30.090761696154988</c:v>
                </c:pt>
                <c:pt idx="81">
                  <c:v>30.609813193451771</c:v>
                </c:pt>
                <c:pt idx="82">
                  <c:v>31.147085784830313</c:v>
                </c:pt>
                <c:pt idx="83">
                  <c:v>31.70355607827641</c:v>
                </c:pt>
                <c:pt idx="84">
                  <c:v>32.280271743220524</c:v>
                </c:pt>
                <c:pt idx="85">
                  <c:v>32.878358093642213</c:v>
                </c:pt>
                <c:pt idx="86">
                  <c:v>33.499025416817254</c:v>
                </c:pt>
                <c:pt idx="87">
                  <c:v>34.143577148135357</c:v>
                </c:pt>
                <c:pt idx="88">
                  <c:v>34.813419008178222</c:v>
                </c:pt>
                <c:pt idx="89">
                  <c:v>35.510069236848246</c:v>
                </c:pt>
                <c:pt idx="90">
                  <c:v>36.235170081357218</c:v>
                </c:pt>
                <c:pt idx="91">
                  <c:v>36.990500721033882</c:v>
                </c:pt>
                <c:pt idx="92">
                  <c:v>37.777991843069685</c:v>
                </c:pt>
                <c:pt idx="93">
                  <c:v>38.599742120582007</c:v>
                </c:pt>
                <c:pt idx="94">
                  <c:v>39.458036889091538</c:v>
                </c:pt>
                <c:pt idx="95">
                  <c:v>40.355369371379176</c:v>
                </c:pt>
                <c:pt idx="96">
                  <c:v>41.294464865839714</c:v>
                </c:pt>
                <c:pt idx="97">
                  <c:v>42.278308392570892</c:v>
                </c:pt>
                <c:pt idx="98">
                  <c:v>43.310176387937673</c:v>
                </c:pt>
                <c:pt idx="99">
                  <c:v>44.393673156580789</c:v>
                </c:pt>
                <c:pt idx="100">
                  <c:v>45.532772935370318</c:v>
                </c:pt>
                <c:pt idx="101">
                  <c:v>46.731868603829348</c:v>
                </c:pt>
                <c:pt idx="102">
                  <c:v>47.995828299400848</c:v>
                </c:pt>
                <c:pt idx="103">
                  <c:v>49.330061475780631</c:v>
                </c:pt>
                <c:pt idx="104">
                  <c:v>50.740596294410743</c:v>
                </c:pt>
                <c:pt idx="105">
                  <c:v>52.234170684312204</c:v>
                </c:pt>
                <c:pt idx="106">
                  <c:v>53.818339972012524</c:v>
                </c:pt>
                <c:pt idx="107">
                  <c:v>55.501604709382931</c:v>
                </c:pt>
                <c:pt idx="108">
                  <c:v>57.293563264238863</c:v>
                </c:pt>
                <c:pt idx="109">
                  <c:v>59.205094956965887</c:v>
                </c:pt>
                <c:pt idx="110">
                  <c:v>61.248581123323298</c:v>
                </c:pt>
                <c:pt idx="111">
                  <c:v>63.438173594259723</c:v>
                </c:pt>
                <c:pt idx="112">
                  <c:v>65.790122898531038</c:v>
                </c:pt>
                <c:pt idx="113">
                  <c:v>68.323182284303002</c:v>
                </c:pt>
                <c:pt idx="114">
                  <c:v>71.059108812352306</c:v>
                </c:pt>
                <c:pt idx="115">
                  <c:v>74.023289865784008</c:v>
                </c:pt>
                <c:pt idx="116">
                  <c:v>77.245533292043987</c:v>
                </c:pt>
                <c:pt idx="117">
                  <c:v>80.761073306990667</c:v>
                </c:pt>
                <c:pt idx="118">
                  <c:v>84.611864175690584</c:v>
                </c:pt>
                <c:pt idx="119">
                  <c:v>88.848262530005158</c:v>
                </c:pt>
                <c:pt idx="120">
                  <c:v>93.531241711765645</c:v>
                </c:pt>
                <c:pt idx="121">
                  <c:v>98.735345355878977</c:v>
                </c:pt>
                <c:pt idx="122">
                  <c:v>104.55268509777957</c:v>
                </c:pt>
                <c:pt idx="123">
                  <c:v>111.09843999342985</c:v>
                </c:pt>
                <c:pt idx="124">
                  <c:v>111.09843999342976</c:v>
                </c:pt>
                <c:pt idx="125">
                  <c:v>111.09843999342976</c:v>
                </c:pt>
                <c:pt idx="126">
                  <c:v>111.09843999342976</c:v>
                </c:pt>
                <c:pt idx="127">
                  <c:v>111.09843999342976</c:v>
                </c:pt>
                <c:pt idx="128">
                  <c:v>111.09843999342976</c:v>
                </c:pt>
                <c:pt idx="129">
                  <c:v>110.53601692357235</c:v>
                </c:pt>
                <c:pt idx="130">
                  <c:v>109.06477131558137</c:v>
                </c:pt>
                <c:pt idx="131">
                  <c:v>107.63217612346716</c:v>
                </c:pt>
                <c:pt idx="132">
                  <c:v>106.2367280426251</c:v>
                </c:pt>
                <c:pt idx="133">
                  <c:v>104.87700073182707</c:v>
                </c:pt>
                <c:pt idx="134">
                  <c:v>103.55163995018016</c:v>
                </c:pt>
                <c:pt idx="135">
                  <c:v>100.99893485170311</c:v>
                </c:pt>
                <c:pt idx="136">
                  <c:v>98.56905796194458</c:v>
                </c:pt>
                <c:pt idx="137">
                  <c:v>96.253352386735116</c:v>
                </c:pt>
                <c:pt idx="138">
                  <c:v>94.043956072171923</c:v>
                </c:pt>
                <c:pt idx="139">
                  <c:v>91.933712627890969</c:v>
                </c:pt>
                <c:pt idx="140">
                  <c:v>89.916093893014789</c:v>
                </c:pt>
                <c:pt idx="141">
                  <c:v>87.985132479546962</c:v>
                </c:pt>
                <c:pt idx="142">
                  <c:v>86.135362824875557</c:v>
                </c:pt>
                <c:pt idx="143">
                  <c:v>84.361769526921961</c:v>
                </c:pt>
                <c:pt idx="144">
                  <c:v>82.994630954338049</c:v>
                </c:pt>
                <c:pt idx="145">
                  <c:v>82.994630954338049</c:v>
                </c:pt>
              </c:numCache>
            </c:numRef>
          </c:yVal>
          <c:smooth val="1"/>
        </c:ser>
        <c:ser>
          <c:idx val="9"/>
          <c:order val="3"/>
          <c:tx>
            <c:strRef>
              <c:f>Ver130kHz!$S$60</c:f>
              <c:strCache>
                <c:ptCount val="1"/>
                <c:pt idx="0">
                  <c:v>Peak at 264VAC </c:v>
                </c:pt>
              </c:strCache>
            </c:strRef>
          </c:tx>
          <c:spPr>
            <a:ln>
              <a:solidFill>
                <a:srgbClr val="CC0000"/>
              </a:solidFill>
            </a:ln>
          </c:spPr>
          <c:marker>
            <c:symbol val="none"/>
          </c:marker>
          <c:xVal>
            <c:numRef>
              <c:f>Ver130kHz!$V$62:$V$207</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4.6603301964424659</c:v>
                </c:pt>
                <c:pt idx="57">
                  <c:v>4.7293604546039614</c:v>
                </c:pt>
                <c:pt idx="58">
                  <c:v>4.7988982098819495</c:v>
                </c:pt>
                <c:pt idx="59">
                  <c:v>4.9108229888559425</c:v>
                </c:pt>
                <c:pt idx="60">
                  <c:v>5.0450675434899441</c:v>
                </c:pt>
                <c:pt idx="61">
                  <c:v>5.1832804676229944</c:v>
                </c:pt>
                <c:pt idx="62">
                  <c:v>5.3256164281031939</c:v>
                </c:pt>
                <c:pt idx="63">
                  <c:v>5.4722382350755785</c:v>
                </c:pt>
                <c:pt idx="64">
                  <c:v>5.623317385067053</c:v>
                </c:pt>
                <c:pt idx="65">
                  <c:v>5.7790346481215167</c:v>
                </c:pt>
                <c:pt idx="66">
                  <c:v>5.9395807032108179</c:v>
                </c:pt>
                <c:pt idx="67">
                  <c:v>6.1051568266167697</c:v>
                </c:pt>
                <c:pt idx="68">
                  <c:v>6.2759756385087684</c:v>
                </c:pt>
                <c:pt idx="69">
                  <c:v>6.4522619135388455</c:v>
                </c:pt>
                <c:pt idx="70">
                  <c:v>6.6342534619512188</c:v>
                </c:pt>
                <c:pt idx="71">
                  <c:v>6.8222020884682104</c:v>
                </c:pt>
                <c:pt idx="72">
                  <c:v>7.0163746370816389</c:v>
                </c:pt>
                <c:pt idx="73">
                  <c:v>7.2170541308647014</c:v>
                </c:pt>
                <c:pt idx="74">
                  <c:v>7.4245410170416815</c:v>
                </c:pt>
                <c:pt idx="75">
                  <c:v>7.6391545288329024</c:v>
                </c:pt>
                <c:pt idx="76">
                  <c:v>7.8612341770556604</c:v>
                </c:pt>
                <c:pt idx="77">
                  <c:v>8.0911413861375188</c:v>
                </c:pt>
                <c:pt idx="78">
                  <c:v>8.3292612911211581</c:v>
                </c:pt>
                <c:pt idx="79">
                  <c:v>8.5760047144519529</c:v>
                </c:pt>
                <c:pt idx="80">
                  <c:v>8.8318103438881597</c:v>
                </c:pt>
                <c:pt idx="81">
                  <c:v>9.0971471358186431</c:v>
                </c:pt>
                <c:pt idx="82">
                  <c:v>9.3725169716831651</c:v>
                </c:pt>
                <c:pt idx="83">
                  <c:v>9.6584575991484716</c:v>
                </c:pt>
                <c:pt idx="84">
                  <c:v>9.9555458942998687</c:v>
                </c:pt>
                <c:pt idx="85">
                  <c:v>10.264401486482658</c:v>
                </c:pt>
                <c:pt idx="86">
                  <c:v>10.585690793715232</c:v>
                </c:pt>
                <c:pt idx="87">
                  <c:v>10.92013152397227</c:v>
                </c:pt>
                <c:pt idx="88">
                  <c:v>11.268497706315477</c:v>
                </c:pt>
                <c:pt idx="89">
                  <c:v>11.631625326090999</c:v>
                </c:pt>
                <c:pt idx="90">
                  <c:v>12.010418650537265</c:v>
                </c:pt>
                <c:pt idx="91">
                  <c:v>12.405857345545449</c:v>
                </c:pt>
                <c:pt idx="92">
                  <c:v>12.819004501472687</c:v>
                </c:pt>
                <c:pt idx="93">
                  <c:v>13.251015706424461</c:v>
                </c:pt>
                <c:pt idx="94">
                  <c:v>13.703149330045333</c:v>
                </c:pt>
                <c:pt idx="95">
                  <c:v>14.176778210518666</c:v>
                </c:pt>
                <c:pt idx="96">
                  <c:v>14.673402973350566</c:v>
                </c:pt>
                <c:pt idx="97">
                  <c:v>15.194667254079606</c:v>
                </c:pt>
                <c:pt idx="98">
                  <c:v>15.742375150190256</c:v>
                </c:pt>
                <c:pt idx="99">
                  <c:v>16.318511292608061</c:v>
                </c:pt>
                <c:pt idx="100">
                  <c:v>16.925264007288796</c:v>
                </c:pt>
                <c:pt idx="101">
                  <c:v>17.565052136539865</c:v>
                </c:pt>
                <c:pt idx="102">
                  <c:v>18.240556212969402</c:v>
                </c:pt>
                <c:pt idx="103">
                  <c:v>18.954754833051698</c:v>
                </c:pt>
                <c:pt idx="104">
                  <c:v>19.710967271047554</c:v>
                </c:pt>
                <c:pt idx="105">
                  <c:v>20.512903619094633</c:v>
                </c:pt>
                <c:pt idx="106">
                  <c:v>21.364724051255301</c:v>
                </c:pt>
                <c:pt idx="107">
                  <c:v>22.271109209098306</c:v>
                </c:pt>
                <c:pt idx="108">
                  <c:v>23.237344222350515</c:v>
                </c:pt>
                <c:pt idx="109">
                  <c:v>24.269419549044329</c:v>
                </c:pt>
                <c:pt idx="110">
                  <c:v>25.374152698879062</c:v>
                </c:pt>
                <c:pt idx="111">
                  <c:v>26.559336065715264</c:v>
                </c:pt>
                <c:pt idx="112">
                  <c:v>27.833917645113871</c:v>
                </c:pt>
                <c:pt idx="113">
                  <c:v>29.208223499928657</c:v>
                </c:pt>
                <c:pt idx="114">
                  <c:v>30.694233676235282</c:v>
                </c:pt>
                <c:pt idx="115">
                  <c:v>32.305927177101303</c:v>
                </c:pt>
                <c:pt idx="116">
                  <c:v>34.059717036873707</c:v>
                </c:pt>
                <c:pt idx="117">
                  <c:v>35.975004200089806</c:v>
                </c:pt>
                <c:pt idx="118">
                  <c:v>38.074889858299585</c:v>
                </c:pt>
                <c:pt idx="119">
                  <c:v>40.387101781173101</c:v>
                </c:pt>
                <c:pt idx="120">
                  <c:v>42.945213595774334</c:v>
                </c:pt>
                <c:pt idx="121">
                  <c:v>45.790271112012825</c:v>
                </c:pt>
                <c:pt idx="122">
                  <c:v>48.972993572158174</c:v>
                </c:pt>
                <c:pt idx="123">
                  <c:v>52.556801785277472</c:v>
                </c:pt>
                <c:pt idx="124">
                  <c:v>53.599978903939217</c:v>
                </c:pt>
                <c:pt idx="125">
                  <c:v>54.653407320408931</c:v>
                </c:pt>
                <c:pt idx="126">
                  <c:v>55.717087034686536</c:v>
                </c:pt>
                <c:pt idx="127">
                  <c:v>56.791018046772116</c:v>
                </c:pt>
                <c:pt idx="128">
                  <c:v>57.875200356665594</c:v>
                </c:pt>
                <c:pt idx="129">
                  <c:v>60.323570600855106</c:v>
                </c:pt>
                <c:pt idx="130">
                  <c:v>62.288424593394268</c:v>
                </c:pt>
                <c:pt idx="131">
                  <c:v>64.263732424014805</c:v>
                </c:pt>
                <c:pt idx="132">
                  <c:v>66.249087491582728</c:v>
                </c:pt>
                <c:pt idx="133">
                  <c:v>68.244104011368222</c:v>
                </c:pt>
                <c:pt idx="134">
                  <c:v>70.248415699731183</c:v>
                </c:pt>
                <c:pt idx="135">
                  <c:v>74.283549742106047</c:v>
                </c:pt>
                <c:pt idx="136">
                  <c:v>78.351905321083805</c:v>
                </c:pt>
                <c:pt idx="137">
                  <c:v>82.451140993037455</c:v>
                </c:pt>
                <c:pt idx="138">
                  <c:v>86.579130296022868</c:v>
                </c:pt>
                <c:pt idx="139">
                  <c:v>90.733937630010601</c:v>
                </c:pt>
                <c:pt idx="140">
                  <c:v>94.913797313177085</c:v>
                </c:pt>
                <c:pt idx="141">
                  <c:v>99.117095336812028</c:v>
                </c:pt>
                <c:pt idx="142">
                  <c:v>103.34235342169713</c:v>
                </c:pt>
                <c:pt idx="143">
                  <c:v>107.58821504423361</c:v>
                </c:pt>
                <c:pt idx="144">
                  <c:v>110.99889747642061</c:v>
                </c:pt>
                <c:pt idx="145">
                  <c:v>110.99889747642061</c:v>
                </c:pt>
              </c:numCache>
            </c:numRef>
          </c:xVal>
          <c:yVal>
            <c:numRef>
              <c:f>Ver130kHz!$U$62:$U$207</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c:v>
                </c:pt>
                <c:pt idx="57">
                  <c:v>22</c:v>
                </c:pt>
                <c:pt idx="58">
                  <c:v>22</c:v>
                </c:pt>
                <c:pt idx="59">
                  <c:v>22.189229879518557</c:v>
                </c:pt>
                <c:pt idx="60">
                  <c:v>22.4702036802687</c:v>
                </c:pt>
                <c:pt idx="61">
                  <c:v>22.758384469692349</c:v>
                </c:pt>
                <c:pt idx="62">
                  <c:v>23.054053139531728</c:v>
                </c:pt>
                <c:pt idx="63">
                  <c:v>23.357505370638009</c:v>
                </c:pt>
                <c:pt idx="64">
                  <c:v>23.669052619272314</c:v>
                </c:pt>
                <c:pt idx="65">
                  <c:v>23.989023183406701</c:v>
                </c:pt>
                <c:pt idx="66">
                  <c:v>24.317763356699224</c:v>
                </c:pt>
                <c:pt idx="67">
                  <c:v>24.65563867867025</c:v>
                </c:pt>
                <c:pt idx="68">
                  <c:v>25.00303529056821</c:v>
                </c:pt>
                <c:pt idx="69">
                  <c:v>25.360361407497972</c:v>
                </c:pt>
                <c:pt idx="70">
                  <c:v>25.728048918611247</c:v>
                </c:pt>
                <c:pt idx="71">
                  <c:v>26.106555128547161</c:v>
                </c:pt>
                <c:pt idx="72">
                  <c:v>26.496364654886566</c:v>
                </c:pt>
                <c:pt idx="73">
                  <c:v>26.897991498173877</c:v>
                </c:pt>
                <c:pt idx="74">
                  <c:v>27.311981303098399</c:v>
                </c:pt>
                <c:pt idx="75">
                  <c:v>27.738913831752257</c:v>
                </c:pt>
                <c:pt idx="76">
                  <c:v>28.179405672539168</c:v>
                </c:pt>
                <c:pt idx="77">
                  <c:v>28.634113211351725</c:v>
                </c:pt>
                <c:pt idx="78">
                  <c:v>29.103735895126768</c:v>
                </c:pt>
                <c:pt idx="79">
                  <c:v>29.589019821905662</c:v>
                </c:pt>
                <c:pt idx="80">
                  <c:v>30.090761696154988</c:v>
                </c:pt>
                <c:pt idx="81">
                  <c:v>30.609813193451771</c:v>
                </c:pt>
                <c:pt idx="82">
                  <c:v>31.147085784830313</c:v>
                </c:pt>
                <c:pt idx="83">
                  <c:v>31.70355607827641</c:v>
                </c:pt>
                <c:pt idx="84">
                  <c:v>32.280271743220524</c:v>
                </c:pt>
                <c:pt idx="85">
                  <c:v>32.878358093642213</c:v>
                </c:pt>
                <c:pt idx="86">
                  <c:v>33.499025416817254</c:v>
                </c:pt>
                <c:pt idx="87">
                  <c:v>34.143577148135357</c:v>
                </c:pt>
                <c:pt idx="88">
                  <c:v>34.813419008178222</c:v>
                </c:pt>
                <c:pt idx="89">
                  <c:v>35.510069236848246</c:v>
                </c:pt>
                <c:pt idx="90">
                  <c:v>36.235170081357218</c:v>
                </c:pt>
                <c:pt idx="91">
                  <c:v>36.990500721033882</c:v>
                </c:pt>
                <c:pt idx="92">
                  <c:v>37.777991843069685</c:v>
                </c:pt>
                <c:pt idx="93">
                  <c:v>38.599742120582007</c:v>
                </c:pt>
                <c:pt idx="94">
                  <c:v>39.458036889091538</c:v>
                </c:pt>
                <c:pt idx="95">
                  <c:v>40.355369371379176</c:v>
                </c:pt>
                <c:pt idx="96">
                  <c:v>41.294464865839714</c:v>
                </c:pt>
                <c:pt idx="97">
                  <c:v>42.278308392570892</c:v>
                </c:pt>
                <c:pt idx="98">
                  <c:v>43.310176387937673</c:v>
                </c:pt>
                <c:pt idx="99">
                  <c:v>44.393673156580789</c:v>
                </c:pt>
                <c:pt idx="100">
                  <c:v>45.532772935370318</c:v>
                </c:pt>
                <c:pt idx="101">
                  <c:v>46.731868603829348</c:v>
                </c:pt>
                <c:pt idx="102">
                  <c:v>47.995828299400848</c:v>
                </c:pt>
                <c:pt idx="103">
                  <c:v>49.330061475780631</c:v>
                </c:pt>
                <c:pt idx="104">
                  <c:v>50.740596294410743</c:v>
                </c:pt>
                <c:pt idx="105">
                  <c:v>52.234170684312204</c:v>
                </c:pt>
                <c:pt idx="106">
                  <c:v>53.818339972012524</c:v>
                </c:pt>
                <c:pt idx="107">
                  <c:v>55.501604709382931</c:v>
                </c:pt>
                <c:pt idx="108">
                  <c:v>57.293563264238863</c:v>
                </c:pt>
                <c:pt idx="109">
                  <c:v>59.205094956965887</c:v>
                </c:pt>
                <c:pt idx="110">
                  <c:v>61.248581123323298</c:v>
                </c:pt>
                <c:pt idx="111">
                  <c:v>63.438173594259723</c:v>
                </c:pt>
                <c:pt idx="112">
                  <c:v>65.790122898531038</c:v>
                </c:pt>
                <c:pt idx="113">
                  <c:v>68.323182284303002</c:v>
                </c:pt>
                <c:pt idx="114">
                  <c:v>71.059108812352306</c:v>
                </c:pt>
                <c:pt idx="115">
                  <c:v>74.023289865784008</c:v>
                </c:pt>
                <c:pt idx="116">
                  <c:v>77.245533292043987</c:v>
                </c:pt>
                <c:pt idx="117">
                  <c:v>80.761073306990667</c:v>
                </c:pt>
                <c:pt idx="118">
                  <c:v>84.611864175690584</c:v>
                </c:pt>
                <c:pt idx="119">
                  <c:v>88.848262530005158</c:v>
                </c:pt>
                <c:pt idx="120">
                  <c:v>93.531241711765645</c:v>
                </c:pt>
                <c:pt idx="121">
                  <c:v>98.735345355878977</c:v>
                </c:pt>
                <c:pt idx="122">
                  <c:v>104.55268509777957</c:v>
                </c:pt>
                <c:pt idx="123">
                  <c:v>111.09843999342985</c:v>
                </c:pt>
                <c:pt idx="124">
                  <c:v>111.09843999342976</c:v>
                </c:pt>
                <c:pt idx="125">
                  <c:v>111.09843999342976</c:v>
                </c:pt>
                <c:pt idx="126">
                  <c:v>111.09843999342976</c:v>
                </c:pt>
                <c:pt idx="127">
                  <c:v>111.09843999342976</c:v>
                </c:pt>
                <c:pt idx="128">
                  <c:v>111.09843999342976</c:v>
                </c:pt>
                <c:pt idx="129">
                  <c:v>110.53601692357235</c:v>
                </c:pt>
                <c:pt idx="130">
                  <c:v>109.06477131558137</c:v>
                </c:pt>
                <c:pt idx="131">
                  <c:v>107.63217612346716</c:v>
                </c:pt>
                <c:pt idx="132">
                  <c:v>106.2367280426251</c:v>
                </c:pt>
                <c:pt idx="133">
                  <c:v>104.87700073182707</c:v>
                </c:pt>
                <c:pt idx="134">
                  <c:v>103.55163995018016</c:v>
                </c:pt>
                <c:pt idx="135">
                  <c:v>100.99893485170311</c:v>
                </c:pt>
                <c:pt idx="136">
                  <c:v>98.56905796194458</c:v>
                </c:pt>
                <c:pt idx="137">
                  <c:v>96.253352386735116</c:v>
                </c:pt>
                <c:pt idx="138">
                  <c:v>94.043956072171923</c:v>
                </c:pt>
                <c:pt idx="139">
                  <c:v>91.933712627890969</c:v>
                </c:pt>
                <c:pt idx="140">
                  <c:v>89.916093893014789</c:v>
                </c:pt>
                <c:pt idx="141">
                  <c:v>87.985132479546962</c:v>
                </c:pt>
                <c:pt idx="142">
                  <c:v>86.135362824875557</c:v>
                </c:pt>
                <c:pt idx="143">
                  <c:v>84.361769526921961</c:v>
                </c:pt>
                <c:pt idx="144">
                  <c:v>82.994630954338049</c:v>
                </c:pt>
                <c:pt idx="145">
                  <c:v>82.994630954338049</c:v>
                </c:pt>
              </c:numCache>
            </c:numRef>
          </c:yVal>
          <c:smooth val="1"/>
        </c:ser>
        <c:ser>
          <c:idx val="4"/>
          <c:order val="4"/>
          <c:tx>
            <c:strRef>
              <c:f>Ver130kHz!$W$60</c:f>
              <c:strCache>
                <c:ptCount val="1"/>
                <c:pt idx="0">
                  <c:v>Peak at 275VAC </c:v>
                </c:pt>
              </c:strCache>
            </c:strRef>
          </c:tx>
          <c:spPr>
            <a:ln>
              <a:solidFill>
                <a:srgbClr val="CC9900"/>
              </a:solidFill>
            </a:ln>
          </c:spPr>
          <c:marker>
            <c:symbol val="none"/>
          </c:marker>
          <c:xVal>
            <c:numRef>
              <c:f>Ver130kHz!$Z$62:$Z$207</c:f>
              <c:numCache>
                <c:formatCode>0.00</c:formatCode>
                <c:ptCount val="146"/>
                <c:pt idx="0">
                  <c:v>0.69995371713524024</c:v>
                </c:pt>
                <c:pt idx="1">
                  <c:v>0.99187106230267319</c:v>
                </c:pt>
                <c:pt idx="2">
                  <c:v>1.3345381191194721</c:v>
                </c:pt>
                <c:pt idx="3">
                  <c:v>1.7279548875856363</c:v>
                </c:pt>
                <c:pt idx="4">
                  <c:v>1.7700877985729682</c:v>
                </c:pt>
                <c:pt idx="5">
                  <c:v>1.8127282066767927</c:v>
                </c:pt>
                <c:pt idx="6">
                  <c:v>1.8558761118971119</c:v>
                </c:pt>
                <c:pt idx="7">
                  <c:v>1.8995315142339242</c:v>
                </c:pt>
                <c:pt idx="8">
                  <c:v>1.9436944136872309</c:v>
                </c:pt>
                <c:pt idx="9">
                  <c:v>1.9883648102570302</c:v>
                </c:pt>
                <c:pt idx="10">
                  <c:v>2.0335427039433238</c:v>
                </c:pt>
                <c:pt idx="11">
                  <c:v>2.0792280947461115</c:v>
                </c:pt>
                <c:pt idx="12">
                  <c:v>2.1254209826653914</c:v>
                </c:pt>
                <c:pt idx="13">
                  <c:v>2.1721213677011662</c:v>
                </c:pt>
                <c:pt idx="14">
                  <c:v>2.2193292498534349</c:v>
                </c:pt>
                <c:pt idx="15">
                  <c:v>2.267044629122196</c:v>
                </c:pt>
                <c:pt idx="16">
                  <c:v>2.3152675055074514</c:v>
                </c:pt>
                <c:pt idx="17">
                  <c:v>2.3639978790092009</c:v>
                </c:pt>
                <c:pt idx="18">
                  <c:v>2.413235749627443</c:v>
                </c:pt>
                <c:pt idx="19">
                  <c:v>2.4629811173621796</c:v>
                </c:pt>
                <c:pt idx="20">
                  <c:v>2.5132339822134107</c:v>
                </c:pt>
                <c:pt idx="21">
                  <c:v>2.5639943441811339</c:v>
                </c:pt>
                <c:pt idx="22">
                  <c:v>2.6152622032653512</c:v>
                </c:pt>
                <c:pt idx="23">
                  <c:v>2.6670375594660634</c:v>
                </c:pt>
                <c:pt idx="24">
                  <c:v>2.7193204127832664</c:v>
                </c:pt>
                <c:pt idx="25">
                  <c:v>2.7721107632169657</c:v>
                </c:pt>
                <c:pt idx="26">
                  <c:v>2.8254086107671559</c:v>
                </c:pt>
                <c:pt idx="27">
                  <c:v>2.8792139554338414</c:v>
                </c:pt>
                <c:pt idx="28">
                  <c:v>2.9335267972170214</c:v>
                </c:pt>
                <c:pt idx="29">
                  <c:v>2.9883471361166936</c:v>
                </c:pt>
                <c:pt idx="30">
                  <c:v>3.0436749721328606</c:v>
                </c:pt>
                <c:pt idx="31">
                  <c:v>3.0995103052655213</c:v>
                </c:pt>
                <c:pt idx="32">
                  <c:v>3.1558531355146746</c:v>
                </c:pt>
                <c:pt idx="33">
                  <c:v>3.2127034628803224</c:v>
                </c:pt>
                <c:pt idx="34">
                  <c:v>3.2700612873624642</c:v>
                </c:pt>
                <c:pt idx="35">
                  <c:v>3.3279266089610977</c:v>
                </c:pt>
                <c:pt idx="36">
                  <c:v>3.3862994276762275</c:v>
                </c:pt>
                <c:pt idx="37">
                  <c:v>3.4451797435078499</c:v>
                </c:pt>
                <c:pt idx="38">
                  <c:v>3.5045675564559646</c:v>
                </c:pt>
                <c:pt idx="39">
                  <c:v>3.564462866520576</c:v>
                </c:pt>
                <c:pt idx="40">
                  <c:v>3.6248656737016787</c:v>
                </c:pt>
                <c:pt idx="41">
                  <c:v>3.6857759779992758</c:v>
                </c:pt>
                <c:pt idx="42">
                  <c:v>3.7471937794133656</c:v>
                </c:pt>
                <c:pt idx="43">
                  <c:v>3.8091190779439512</c:v>
                </c:pt>
                <c:pt idx="44">
                  <c:v>3.8715518735910268</c:v>
                </c:pt>
                <c:pt idx="45">
                  <c:v>3.9344921663546004</c:v>
                </c:pt>
                <c:pt idx="46">
                  <c:v>3.9979399562346649</c:v>
                </c:pt>
                <c:pt idx="47">
                  <c:v>4.0618952432312234</c:v>
                </c:pt>
                <c:pt idx="48">
                  <c:v>4.126358027344275</c:v>
                </c:pt>
                <c:pt idx="49">
                  <c:v>4.1913283085738229</c:v>
                </c:pt>
                <c:pt idx="50">
                  <c:v>4.2568060869198607</c:v>
                </c:pt>
                <c:pt idx="51">
                  <c:v>4.3227913623823939</c:v>
                </c:pt>
                <c:pt idx="52">
                  <c:v>4.3892841349614207</c:v>
                </c:pt>
                <c:pt idx="53">
                  <c:v>4.4562844046569419</c:v>
                </c:pt>
                <c:pt idx="54">
                  <c:v>4.5237921714689566</c:v>
                </c:pt>
                <c:pt idx="55">
                  <c:v>4.5918074353974632</c:v>
                </c:pt>
                <c:pt idx="56">
                  <c:v>4.6603301964424659</c:v>
                </c:pt>
                <c:pt idx="57">
                  <c:v>4.7293604546039614</c:v>
                </c:pt>
                <c:pt idx="58">
                  <c:v>4.7988982098819495</c:v>
                </c:pt>
                <c:pt idx="59">
                  <c:v>4.9015273382129774</c:v>
                </c:pt>
                <c:pt idx="60">
                  <c:v>5.0353970893832773</c:v>
                </c:pt>
                <c:pt idx="61">
                  <c:v>5.1732179110027614</c:v>
                </c:pt>
                <c:pt idx="62">
                  <c:v>5.3151434928609138</c:v>
                </c:pt>
                <c:pt idx="63">
                  <c:v>5.4613356004796376</c:v>
                </c:pt>
                <c:pt idx="64">
                  <c:v>5.6119646126049068</c:v>
                </c:pt>
                <c:pt idx="65">
                  <c:v>5.7672101022057394</c:v>
                </c:pt>
                <c:pt idx="66">
                  <c:v>5.9272614651453956</c:v>
                </c:pt>
                <c:pt idx="67">
                  <c:v>6.0923186011515522</c:v>
                </c:pt>
                <c:pt idx="68">
                  <c:v>6.2625926522327342</c:v>
                </c:pt>
                <c:pt idx="69">
                  <c:v>6.4383068042754337</c:v>
                </c:pt>
                <c:pt idx="70">
                  <c:v>6.6196971582199771</c:v>
                </c:pt>
                <c:pt idx="71">
                  <c:v>6.8070136779647106</c:v>
                </c:pt>
                <c:pt idx="72">
                  <c:v>7.0005212229999332</c:v>
                </c:pt>
                <c:pt idx="73">
                  <c:v>7.2005006747412414</c:v>
                </c:pt>
                <c:pt idx="74">
                  <c:v>7.4072501666337471</c:v>
                </c:pt>
                <c:pt idx="75">
                  <c:v>7.621086429355068</c:v>
                </c:pt>
                <c:pt idx="76">
                  <c:v>7.8423462638806951</c:v>
                </c:pt>
                <c:pt idx="77">
                  <c:v>8.0713881568189958</c:v>
                </c:pt>
                <c:pt idx="78">
                  <c:v>8.3085940543085108</c:v>
                </c:pt>
                <c:pt idx="79">
                  <c:v>8.5543713129384678</c:v>
                </c:pt>
                <c:pt idx="80">
                  <c:v>8.8091548486509925</c:v>
                </c:pt>
                <c:pt idx="81">
                  <c:v>9.073409507468277</c:v>
                </c:pt>
                <c:pt idx="82">
                  <c:v>9.3476326852271558</c:v>
                </c:pt>
                <c:pt idx="83">
                  <c:v>9.6323572273781277</c:v>
                </c:pt>
                <c:pt idx="84">
                  <c:v>9.9281546444128921</c:v>
                </c:pt>
                <c:pt idx="85">
                  <c:v>10.235638683741493</c:v>
                </c:pt>
                <c:pt idx="86">
                  <c:v>10.555469304987025</c:v>
                </c:pt>
                <c:pt idx="87">
                  <c:v>10.88835711287469</c:v>
                </c:pt>
                <c:pt idx="88">
                  <c:v>11.235068310369726</c:v>
                </c:pt>
                <c:pt idx="89">
                  <c:v>11.596430244718295</c:v>
                </c:pt>
                <c:pt idx="90">
                  <c:v>11.973337630877669</c:v>
                </c:pt>
                <c:pt idx="91">
                  <c:v>12.36675955086654</c:v>
                </c:pt>
                <c:pt idx="92">
                  <c:v>12.777747344293219</c:v>
                </c:pt>
                <c:pt idx="93">
                  <c:v>13.207443525310479</c:v>
                </c:pt>
                <c:pt idx="94">
                  <c:v>13.657091885223785</c:v>
                </c:pt>
                <c:pt idx="95">
                  <c:v>14.128048968848223</c:v>
                </c:pt>
                <c:pt idx="96">
                  <c:v>14.621797147603383</c:v>
                </c:pt>
                <c:pt idx="97">
                  <c:v>15.139959554684125</c:v>
                </c:pt>
                <c:pt idx="98">
                  <c:v>15.68431719926205</c:v>
                </c:pt>
                <c:pt idx="99">
                  <c:v>16.256828639866921</c:v>
                </c:pt>
                <c:pt idx="100">
                  <c:v>16.859652674829526</c:v>
                </c:pt>
                <c:pt idx="101">
                  <c:v>17.495174603748538</c:v>
                </c:pt>
                <c:pt idx="102">
                  <c:v>18.166036733319586</c:v>
                </c:pt>
                <c:pt idx="103">
                  <c:v>18.875173949979985</c:v>
                </c:pt>
                <c:pt idx="104">
                  <c:v>19.62585536914753</c:v>
                </c:pt>
                <c:pt idx="105">
                  <c:v>20.421733307561055</c:v>
                </c:pt>
                <c:pt idx="106">
                  <c:v>21.266901126280725</c:v>
                </c:pt>
                <c:pt idx="107">
                  <c:v>22.165961877298997</c:v>
                </c:pt>
                <c:pt idx="108">
                  <c:v>23.124110183547593</c:v>
                </c:pt>
                <c:pt idx="109">
                  <c:v>24.14723042735617</c:v>
                </c:pt>
                <c:pt idx="110">
                  <c:v>25.242015167089761</c:v>
                </c:pt>
                <c:pt idx="111">
                  <c:v>26.416108816666711</c:v>
                </c:pt>
                <c:pt idx="112">
                  <c:v>27.678283107587614</c:v>
                </c:pt>
                <c:pt idx="113">
                  <c:v>29.038652849604556</c:v>
                </c:pt>
                <c:pt idx="114">
                  <c:v>30.508943217842987</c:v>
                </c:pt>
                <c:pt idx="115">
                  <c:v>32.102823517515446</c:v>
                </c:pt>
                <c:pt idx="116">
                  <c:v>33.836327549816524</c:v>
                </c:pt>
                <c:pt idx="117">
                  <c:v>35.728387979160509</c:v>
                </c:pt>
                <c:pt idx="118">
                  <c:v>37.801522478674627</c:v>
                </c:pt>
                <c:pt idx="119">
                  <c:v>40.082724448327745</c:v>
                </c:pt>
                <c:pt idx="120">
                  <c:v>42.604633184845703</c:v>
                </c:pt>
                <c:pt idx="121">
                  <c:v>45.407091434027969</c:v>
                </c:pt>
                <c:pt idx="122">
                  <c:v>48.53924867839185</c:v>
                </c:pt>
                <c:pt idx="123">
                  <c:v>52.062447079374181</c:v>
                </c:pt>
                <c:pt idx="124">
                  <c:v>53.09581196631359</c:v>
                </c:pt>
                <c:pt idx="125">
                  <c:v>54.139331726295012</c:v>
                </c:pt>
                <c:pt idx="126">
                  <c:v>55.193006359318325</c:v>
                </c:pt>
                <c:pt idx="127">
                  <c:v>56.256835865383643</c:v>
                </c:pt>
                <c:pt idx="128">
                  <c:v>57.330820244490866</c:v>
                </c:pt>
                <c:pt idx="129">
                  <c:v>60.060208761817456</c:v>
                </c:pt>
                <c:pt idx="130">
                  <c:v>62.297426214166194</c:v>
                </c:pt>
                <c:pt idx="131">
                  <c:v>64.273103468343962</c:v>
                </c:pt>
                <c:pt idx="132">
                  <c:v>66.258832355083968</c:v>
                </c:pt>
                <c:pt idx="133">
                  <c:v>68.254226957787736</c:v>
                </c:pt>
                <c:pt idx="134">
                  <c:v>70.25892086577015</c:v>
                </c:pt>
                <c:pt idx="135">
                  <c:v>74.294831272307633</c:v>
                </c:pt>
                <c:pt idx="136">
                  <c:v>78.363978350206153</c:v>
                </c:pt>
                <c:pt idx="137">
                  <c:v>82.464019794749163</c:v>
                </c:pt>
                <c:pt idx="138">
                  <c:v>86.592828343522029</c:v>
                </c:pt>
                <c:pt idx="139">
                  <c:v>90.74846765186507</c:v>
                </c:pt>
                <c:pt idx="140">
                  <c:v>94.929171344755161</c:v>
                </c:pt>
                <c:pt idx="141">
                  <c:v>99.133324767654884</c:v>
                </c:pt>
                <c:pt idx="142">
                  <c:v>103.35944903916429</c:v>
                </c:pt>
                <c:pt idx="143">
                  <c:v>107.60618707373024</c:v>
                </c:pt>
                <c:pt idx="144">
                  <c:v>111.01757764395551</c:v>
                </c:pt>
                <c:pt idx="145">
                  <c:v>111.01757764395551</c:v>
                </c:pt>
              </c:numCache>
            </c:numRef>
          </c:xVal>
          <c:yVal>
            <c:numRef>
              <c:f>Ver130kHz!$Y$62:$Y$207</c:f>
              <c:numCache>
                <c:formatCode>0.00</c:formatCode>
                <c:ptCount val="146"/>
                <c:pt idx="0">
                  <c:v>22</c:v>
                </c:pt>
                <c:pt idx="1">
                  <c:v>22</c:v>
                </c:pt>
                <c:pt idx="2">
                  <c:v>22</c:v>
                </c:pt>
                <c:pt idx="3">
                  <c:v>22</c:v>
                </c:pt>
                <c:pt idx="4">
                  <c:v>22</c:v>
                </c:pt>
                <c:pt idx="5">
                  <c:v>22</c:v>
                </c:pt>
                <c:pt idx="6">
                  <c:v>22</c:v>
                </c:pt>
                <c:pt idx="7">
                  <c:v>22</c:v>
                </c:pt>
                <c:pt idx="8">
                  <c:v>22</c:v>
                </c:pt>
                <c:pt idx="9">
                  <c:v>22</c:v>
                </c:pt>
                <c:pt idx="10">
                  <c:v>22</c:v>
                </c:pt>
                <c:pt idx="11">
                  <c:v>22</c:v>
                </c:pt>
                <c:pt idx="12">
                  <c:v>22</c:v>
                </c:pt>
                <c:pt idx="13">
                  <c:v>22</c:v>
                </c:pt>
                <c:pt idx="14">
                  <c:v>22</c:v>
                </c:pt>
                <c:pt idx="15">
                  <c:v>22</c:v>
                </c:pt>
                <c:pt idx="16">
                  <c:v>22</c:v>
                </c:pt>
                <c:pt idx="17">
                  <c:v>22</c:v>
                </c:pt>
                <c:pt idx="18">
                  <c:v>22</c:v>
                </c:pt>
                <c:pt idx="19">
                  <c:v>22</c:v>
                </c:pt>
                <c:pt idx="20">
                  <c:v>22</c:v>
                </c:pt>
                <c:pt idx="21">
                  <c:v>22</c:v>
                </c:pt>
                <c:pt idx="22">
                  <c:v>22</c:v>
                </c:pt>
                <c:pt idx="23">
                  <c:v>22</c:v>
                </c:pt>
                <c:pt idx="24">
                  <c:v>22</c:v>
                </c:pt>
                <c:pt idx="25">
                  <c:v>22</c:v>
                </c:pt>
                <c:pt idx="26">
                  <c:v>22</c:v>
                </c:pt>
                <c:pt idx="27">
                  <c:v>22</c:v>
                </c:pt>
                <c:pt idx="28">
                  <c:v>22</c:v>
                </c:pt>
                <c:pt idx="29">
                  <c:v>22</c:v>
                </c:pt>
                <c:pt idx="30">
                  <c:v>22</c:v>
                </c:pt>
                <c:pt idx="31">
                  <c:v>22</c:v>
                </c:pt>
                <c:pt idx="32">
                  <c:v>22</c:v>
                </c:pt>
                <c:pt idx="33">
                  <c:v>22</c:v>
                </c:pt>
                <c:pt idx="34">
                  <c:v>22</c:v>
                </c:pt>
                <c:pt idx="35">
                  <c:v>22</c:v>
                </c:pt>
                <c:pt idx="36">
                  <c:v>22</c:v>
                </c:pt>
                <c:pt idx="37">
                  <c:v>22</c:v>
                </c:pt>
                <c:pt idx="38">
                  <c:v>22</c:v>
                </c:pt>
                <c:pt idx="39">
                  <c:v>22</c:v>
                </c:pt>
                <c:pt idx="40">
                  <c:v>22</c:v>
                </c:pt>
                <c:pt idx="41">
                  <c:v>22</c:v>
                </c:pt>
                <c:pt idx="42">
                  <c:v>22</c:v>
                </c:pt>
                <c:pt idx="43">
                  <c:v>22</c:v>
                </c:pt>
                <c:pt idx="44">
                  <c:v>22</c:v>
                </c:pt>
                <c:pt idx="45">
                  <c:v>22</c:v>
                </c:pt>
                <c:pt idx="46">
                  <c:v>22</c:v>
                </c:pt>
                <c:pt idx="47">
                  <c:v>22</c:v>
                </c:pt>
                <c:pt idx="48">
                  <c:v>22</c:v>
                </c:pt>
                <c:pt idx="49">
                  <c:v>22</c:v>
                </c:pt>
                <c:pt idx="50">
                  <c:v>22</c:v>
                </c:pt>
                <c:pt idx="51">
                  <c:v>22</c:v>
                </c:pt>
                <c:pt idx="52">
                  <c:v>22</c:v>
                </c:pt>
                <c:pt idx="53">
                  <c:v>22</c:v>
                </c:pt>
                <c:pt idx="54">
                  <c:v>22</c:v>
                </c:pt>
                <c:pt idx="55">
                  <c:v>22</c:v>
                </c:pt>
                <c:pt idx="56">
                  <c:v>22</c:v>
                </c:pt>
                <c:pt idx="57">
                  <c:v>22</c:v>
                </c:pt>
                <c:pt idx="58">
                  <c:v>22</c:v>
                </c:pt>
                <c:pt idx="59">
                  <c:v>22.147228094998013</c:v>
                </c:pt>
                <c:pt idx="60">
                  <c:v>22.427132488142071</c:v>
                </c:pt>
                <c:pt idx="61">
                  <c:v>22.71420250158512</c:v>
                </c:pt>
                <c:pt idx="62">
                  <c:v>23.008716865531913</c:v>
                </c:pt>
                <c:pt idx="63">
                  <c:v>23.310968956251571</c:v>
                </c:pt>
                <c:pt idx="64">
                  <c:v>23.621267770866861</c:v>
                </c:pt>
                <c:pt idx="65">
                  <c:v>23.939938981047916</c:v>
                </c:pt>
                <c:pt idx="66">
                  <c:v>24.267326073163733</c:v>
                </c:pt>
                <c:pt idx="67">
                  <c:v>24.603791583282675</c:v>
                </c:pt>
                <c:pt idx="68">
                  <c:v>24.949718436356779</c:v>
                </c:pt>
                <c:pt idx="69">
                  <c:v>25.305511399989967</c:v>
                </c:pt>
                <c:pt idx="70">
                  <c:v>25.671598664393585</c:v>
                </c:pt>
                <c:pt idx="71">
                  <c:v>26.048433561495536</c:v>
                </c:pt>
                <c:pt idx="72">
                  <c:v>26.436496437714442</c:v>
                </c:pt>
                <c:pt idx="73">
                  <c:v>26.83629669666615</c:v>
                </c:pt>
                <c:pt idx="74">
                  <c:v>27.248375030067887</c:v>
                </c:pt>
                <c:pt idx="75">
                  <c:v>27.673305857384474</c:v>
                </c:pt>
                <c:pt idx="76">
                  <c:v>28.111699997364333</c:v>
                </c:pt>
                <c:pt idx="77">
                  <c:v>28.564207597594262</c:v>
                </c:pt>
                <c:pt idx="78">
                  <c:v>29.031521351621148</c:v>
                </c:pt>
                <c:pt idx="79">
                  <c:v>29.514380037121132</c:v>
                </c:pt>
                <c:pt idx="80">
                  <c:v>30.013572413126315</c:v>
                </c:pt>
                <c:pt idx="81">
                  <c:v>30.52994151955091</c:v>
                </c:pt>
                <c:pt idx="82">
                  <c:v>31.064389428314634</c:v>
                </c:pt>
                <c:pt idx="83">
                  <c:v>31.617882502388078</c:v>
                </c:pt>
                <c:pt idx="84">
                  <c:v>32.191457227258695</c:v>
                </c:pt>
                <c:pt idx="85">
                  <c:v>32.786226688850014</c:v>
                </c:pt>
                <c:pt idx="86">
                  <c:v>33.403387783074791</c:v>
                </c:pt>
                <c:pt idx="87">
                  <c:v>34.044229255276633</c:v>
                </c:pt>
                <c:pt idx="88">
                  <c:v>34.710140683189309</c:v>
                </c:pt>
                <c:pt idx="89">
                  <c:v>35.402622535178971</c:v>
                </c:pt>
                <c:pt idx="90">
                  <c:v>36.123297456992418</c:v>
                </c:pt>
                <c:pt idx="91">
                  <c:v>36.873922965706043</c:v>
                </c:pt>
                <c:pt idx="92">
                  <c:v>37.656405759905802</c:v>
                </c:pt>
                <c:pt idx="93">
                  <c:v>38.472817891383819</c:v>
                </c:pt>
                <c:pt idx="94">
                  <c:v>39.325415087123631</c:v>
                </c:pt>
                <c:pt idx="95">
                  <c:v>40.216657562701883</c:v>
                </c:pt>
                <c:pt idx="96">
                  <c:v>41.149233731517292</c:v>
                </c:pt>
                <c:pt idx="97">
                  <c:v>42.12608729106114</c:v>
                </c:pt>
                <c:pt idx="98">
                  <c:v>43.150448261055089</c:v>
                </c:pt>
                <c:pt idx="99">
                  <c:v>44.225868662891372</c:v>
                </c:pt>
                <c:pt idx="100">
                  <c:v>45.356263670784045</c:v>
                </c:pt>
                <c:pt idx="101">
                  <c:v>46.545959239292308</c:v>
                </c:pt>
                <c:pt idx="102">
                  <c:v>47.799747428375099</c:v>
                </c:pt>
                <c:pt idx="103">
                  <c:v>49.122950917569703</c:v>
                </c:pt>
                <c:pt idx="104">
                  <c:v>50.521498540618516</c:v>
                </c:pt>
                <c:pt idx="105">
                  <c:v>52.002014101196693</c:v>
                </c:pt>
                <c:pt idx="106">
                  <c:v>53.571921276376294</c:v>
                </c:pt>
                <c:pt idx="107">
                  <c:v>55.239568113406499</c:v>
                </c:pt>
                <c:pt idx="108">
                  <c:v>57.014375526443061</c:v>
                </c:pt>
                <c:pt idx="109">
                  <c:v>58.907015370116419</c:v>
                </c:pt>
                <c:pt idx="110">
                  <c:v>60.929625198714618</c:v>
                </c:pt>
                <c:pt idx="111">
                  <c:v>63.09606884186347</c:v>
                </c:pt>
                <c:pt idx="112">
                  <c:v>65.422254620638583</c:v>
                </c:pt>
                <c:pt idx="113">
                  <c:v>67.926526648872468</c:v>
                </c:pt>
                <c:pt idx="114">
                  <c:v>70.630149582300476</c:v>
                </c:pt>
                <c:pt idx="115">
                  <c:v>73.557913930776579</c:v>
                </c:pt>
                <c:pt idx="116">
                  <c:v>76.738898429491059</c:v>
                </c:pt>
                <c:pt idx="117">
                  <c:v>80.207439161838451</c:v>
                </c:pt>
                <c:pt idx="118">
                  <c:v>84.004373945752349</c:v>
                </c:pt>
                <c:pt idx="119">
                  <c:v>88.178657730845416</c:v>
                </c:pt>
                <c:pt idx="120">
                  <c:v>92.7894848064049</c:v>
                </c:pt>
                <c:pt idx="121">
                  <c:v>97.909113562085039</c:v>
                </c:pt>
                <c:pt idx="122">
                  <c:v>103.62668098851675</c:v>
                </c:pt>
                <c:pt idx="123">
                  <c:v>110.05343659208795</c:v>
                </c:pt>
                <c:pt idx="124">
                  <c:v>110.05343659208785</c:v>
                </c:pt>
                <c:pt idx="125">
                  <c:v>110.05343659208785</c:v>
                </c:pt>
                <c:pt idx="126">
                  <c:v>110.05343659208785</c:v>
                </c:pt>
                <c:pt idx="127">
                  <c:v>110.05343659208785</c:v>
                </c:pt>
                <c:pt idx="128">
                  <c:v>110.05343659208785</c:v>
                </c:pt>
                <c:pt idx="129">
                  <c:v>110.05343659208785</c:v>
                </c:pt>
                <c:pt idx="130">
                  <c:v>109.08053282692747</c:v>
                </c:pt>
                <c:pt idx="131">
                  <c:v>107.64787122637591</c:v>
                </c:pt>
                <c:pt idx="132">
                  <c:v>106.25235486033374</c:v>
                </c:pt>
                <c:pt idx="133">
                  <c:v>104.89255759603427</c:v>
                </c:pt>
                <c:pt idx="134">
                  <c:v>103.56712538370132</c:v>
                </c:pt>
                <c:pt idx="135">
                  <c:v>101.01427367891068</c:v>
                </c:pt>
                <c:pt idx="136">
                  <c:v>98.58424619639095</c:v>
                </c:pt>
                <c:pt idx="137">
                  <c:v>96.268387082732602</c:v>
                </c:pt>
                <c:pt idx="138">
                  <c:v>94.05883516108031</c:v>
                </c:pt>
                <c:pt idx="139">
                  <c:v>91.948434780246942</c:v>
                </c:pt>
                <c:pt idx="140">
                  <c:v>89.930658402138022</c:v>
                </c:pt>
                <c:pt idx="141">
                  <c:v>87.999539163055232</c:v>
                </c:pt>
                <c:pt idx="142">
                  <c:v>86.149611941181632</c:v>
                </c:pt>
                <c:pt idx="143">
                  <c:v>84.375861704301272</c:v>
                </c:pt>
                <c:pt idx="144">
                  <c:v>83.008598242716332</c:v>
                </c:pt>
                <c:pt idx="145">
                  <c:v>83.008598242716332</c:v>
                </c:pt>
              </c:numCache>
            </c:numRef>
          </c:yVal>
          <c:smooth val="1"/>
        </c:ser>
        <c:dLbls>
          <c:showLegendKey val="0"/>
          <c:showVal val="0"/>
          <c:showCatName val="0"/>
          <c:showSerName val="0"/>
          <c:showPercent val="0"/>
          <c:showBubbleSize val="0"/>
        </c:dLbls>
        <c:axId val="196941312"/>
        <c:axId val="196943232"/>
      </c:scatterChart>
      <c:valAx>
        <c:axId val="196941312"/>
        <c:scaling>
          <c:orientation val="minMax"/>
          <c:max val="80"/>
          <c:min val="0"/>
        </c:scaling>
        <c:delete val="0"/>
        <c:axPos val="b"/>
        <c:majorGridlines/>
        <c:minorGridlines/>
        <c:title>
          <c:tx>
            <c:rich>
              <a:bodyPr/>
              <a:lstStyle/>
              <a:p>
                <a:pPr>
                  <a:defRPr sz="1600"/>
                </a:pPr>
                <a:r>
                  <a:rPr lang="en-US" altLang="zh-TW" sz="1600"/>
                  <a:t>Output</a:t>
                </a:r>
                <a:r>
                  <a:rPr lang="en-US" altLang="zh-TW" sz="1600" baseline="0"/>
                  <a:t> Power</a:t>
                </a:r>
                <a:r>
                  <a:rPr lang="en-US" altLang="zh-TW" sz="1600"/>
                  <a:t> (W)</a:t>
                </a:r>
                <a:endParaRPr lang="zh-TW" altLang="en-US" sz="1600"/>
              </a:p>
            </c:rich>
          </c:tx>
          <c:layout>
            <c:manualLayout>
              <c:xMode val="edge"/>
              <c:yMode val="edge"/>
              <c:x val="0.40986321760487143"/>
              <c:y val="0.92453191323246353"/>
            </c:manualLayout>
          </c:layout>
          <c:overlay val="0"/>
        </c:title>
        <c:numFmt formatCode="General" sourceLinked="0"/>
        <c:majorTickMark val="none"/>
        <c:minorTickMark val="in"/>
        <c:tickLblPos val="nextTo"/>
        <c:txPr>
          <a:bodyPr/>
          <a:lstStyle/>
          <a:p>
            <a:pPr>
              <a:defRPr sz="1200"/>
            </a:pPr>
            <a:endParaRPr lang="en-US"/>
          </a:p>
        </c:txPr>
        <c:crossAx val="196943232"/>
        <c:crosses val="autoZero"/>
        <c:crossBetween val="midCat"/>
        <c:majorUnit val="5"/>
        <c:minorUnit val="5"/>
      </c:valAx>
      <c:valAx>
        <c:axId val="196943232"/>
        <c:scaling>
          <c:orientation val="minMax"/>
        </c:scaling>
        <c:delete val="0"/>
        <c:axPos val="l"/>
        <c:majorGridlines/>
        <c:title>
          <c:tx>
            <c:rich>
              <a:bodyPr/>
              <a:lstStyle/>
              <a:p>
                <a:pPr>
                  <a:defRPr sz="1600"/>
                </a:pPr>
                <a:r>
                  <a:rPr lang="en-US" altLang="zh-TW" sz="1600"/>
                  <a:t>FSW (KHz)</a:t>
                </a:r>
                <a:endParaRPr lang="zh-TW" altLang="en-US" sz="1600"/>
              </a:p>
            </c:rich>
          </c:tx>
          <c:layout>
            <c:manualLayout>
              <c:xMode val="edge"/>
              <c:yMode val="edge"/>
              <c:x val="1.3263270709367619E-2"/>
              <c:y val="0.42225663411068759"/>
            </c:manualLayout>
          </c:layout>
          <c:overlay val="0"/>
        </c:title>
        <c:numFmt formatCode="#,##0_);\(#,##0\)" sourceLinked="0"/>
        <c:majorTickMark val="none"/>
        <c:minorTickMark val="none"/>
        <c:tickLblPos val="nextTo"/>
        <c:txPr>
          <a:bodyPr/>
          <a:lstStyle/>
          <a:p>
            <a:pPr>
              <a:defRPr sz="1200"/>
            </a:pPr>
            <a:endParaRPr lang="en-US"/>
          </a:p>
        </c:txPr>
        <c:crossAx val="196941312"/>
        <c:crosses val="autoZero"/>
        <c:crossBetween val="midCat"/>
        <c:majorUnit val="10"/>
      </c:valAx>
    </c:plotArea>
    <c:legend>
      <c:legendPos val="r"/>
      <c:layout>
        <c:manualLayout>
          <c:xMode val="edge"/>
          <c:yMode val="edge"/>
          <c:x val="0.14512730574830385"/>
          <c:y val="9.7735415884082175E-2"/>
          <c:w val="0.23519444995813785"/>
          <c:h val="0.20335508640019018"/>
        </c:manualLayout>
      </c:layout>
      <c:overlay val="1"/>
      <c:spPr>
        <a:solidFill>
          <a:schemeClr val="bg1">
            <a:alpha val="80000"/>
          </a:schemeClr>
        </a:solidFill>
        <a:ln>
          <a:noFill/>
        </a:ln>
      </c:spPr>
      <c:txPr>
        <a:bodyPr/>
        <a:lstStyle/>
        <a:p>
          <a:pPr>
            <a:defRPr sz="10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emf"/><Relationship Id="rId1" Type="http://schemas.openxmlformats.org/officeDocument/2006/relationships/image" Target="../media/image5.emf"/><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image" Target="../media/image8.emf"/></Relationships>
</file>

<file path=xl/drawings/_rels/drawing6.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7.png"/><Relationship Id="rId6" Type="http://schemas.openxmlformats.org/officeDocument/2006/relationships/image" Target="../media/image13.png"/><Relationship Id="rId5" Type="http://schemas.openxmlformats.org/officeDocument/2006/relationships/image" Target="../media/image12.png"/><Relationship Id="rId4"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0</xdr:col>
      <xdr:colOff>425153</xdr:colOff>
      <xdr:row>81</xdr:row>
      <xdr:rowOff>182880</xdr:rowOff>
    </xdr:from>
    <xdr:to>
      <xdr:col>4</xdr:col>
      <xdr:colOff>1806475</xdr:colOff>
      <xdr:row>109</xdr:row>
      <xdr:rowOff>41572</xdr:rowOff>
    </xdr:to>
    <xdr:grpSp>
      <xdr:nvGrpSpPr>
        <xdr:cNvPr id="17" name="Group 16"/>
        <xdr:cNvGrpSpPr/>
      </xdr:nvGrpSpPr>
      <xdr:grpSpPr>
        <a:xfrm>
          <a:off x="425153" y="14455140"/>
          <a:ext cx="6380042" cy="5406052"/>
          <a:chOff x="7885133" y="114301"/>
          <a:chExt cx="6189542" cy="4895512"/>
        </a:xfrm>
      </xdr:grpSpPr>
      <xdr:pic>
        <xdr:nvPicPr>
          <xdr:cNvPr id="16" name="Picture 15"/>
          <xdr:cNvPicPr>
            <a:picLocks noChangeAspect="1"/>
          </xdr:cNvPicPr>
        </xdr:nvPicPr>
        <xdr:blipFill>
          <a:blip xmlns:r="http://schemas.openxmlformats.org/officeDocument/2006/relationships" r:embed="rId1"/>
          <a:stretch>
            <a:fillRect/>
          </a:stretch>
        </xdr:blipFill>
        <xdr:spPr>
          <a:xfrm>
            <a:off x="7947664" y="114301"/>
            <a:ext cx="6127011" cy="4895512"/>
          </a:xfrm>
          <a:prstGeom prst="rect">
            <a:avLst/>
          </a:prstGeom>
        </xdr:spPr>
      </xdr:pic>
      <xdr:sp macro="" textlink="">
        <xdr:nvSpPr>
          <xdr:cNvPr id="7" name="TextBox 6"/>
          <xdr:cNvSpPr txBox="1"/>
        </xdr:nvSpPr>
        <xdr:spPr>
          <a:xfrm>
            <a:off x="10867896" y="1071961"/>
            <a:ext cx="503938" cy="180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en-US" sz="1100">
                <a:solidFill>
                  <a:srgbClr val="FF0000"/>
                </a:solidFill>
              </a:rPr>
              <a:t>Bulk Cap</a:t>
            </a:r>
          </a:p>
        </xdr:txBody>
      </xdr:sp>
      <xdr:sp macro="" textlink="">
        <xdr:nvSpPr>
          <xdr:cNvPr id="8" name="TextBox 7"/>
          <xdr:cNvSpPr txBox="1"/>
        </xdr:nvSpPr>
        <xdr:spPr>
          <a:xfrm>
            <a:off x="7892753" y="2152624"/>
            <a:ext cx="407488" cy="180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en-US" sz="1100">
                <a:solidFill>
                  <a:srgbClr val="FF0000"/>
                </a:solidFill>
              </a:rPr>
              <a:t>Rdema</a:t>
            </a:r>
          </a:p>
        </xdr:txBody>
      </xdr:sp>
      <xdr:sp macro="" textlink="">
        <xdr:nvSpPr>
          <xdr:cNvPr id="9" name="TextBox 8"/>
          <xdr:cNvSpPr txBox="1"/>
        </xdr:nvSpPr>
        <xdr:spPr>
          <a:xfrm>
            <a:off x="7885133" y="2938368"/>
            <a:ext cx="414131" cy="180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en-US" sz="1100">
                <a:solidFill>
                  <a:srgbClr val="FF0000"/>
                </a:solidFill>
              </a:rPr>
              <a:t>Rdemb</a:t>
            </a:r>
          </a:p>
        </xdr:txBody>
      </xdr:sp>
      <xdr:sp macro="" textlink="">
        <xdr:nvSpPr>
          <xdr:cNvPr id="10" name="TextBox 9"/>
          <xdr:cNvSpPr txBox="1"/>
        </xdr:nvSpPr>
        <xdr:spPr>
          <a:xfrm>
            <a:off x="11656123" y="3322514"/>
            <a:ext cx="194399" cy="180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en-US" sz="1100">
                <a:solidFill>
                  <a:srgbClr val="FF0000"/>
                </a:solidFill>
              </a:rPr>
              <a:t>Rcs</a:t>
            </a:r>
          </a:p>
        </xdr:txBody>
      </xdr:sp>
      <xdr:sp macro="" textlink="">
        <xdr:nvSpPr>
          <xdr:cNvPr id="11" name="TextBox 10"/>
          <xdr:cNvSpPr txBox="1"/>
        </xdr:nvSpPr>
        <xdr:spPr>
          <a:xfrm>
            <a:off x="11895449" y="1155322"/>
            <a:ext cx="174665" cy="3607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en-US" sz="1100">
                <a:solidFill>
                  <a:srgbClr val="FF0000"/>
                </a:solidFill>
              </a:rPr>
              <a:t>Lm</a:t>
            </a:r>
          </a:p>
          <a:p>
            <a:r>
              <a:rPr lang="en-US" sz="1100">
                <a:solidFill>
                  <a:srgbClr val="FF0000"/>
                </a:solidFill>
              </a:rPr>
              <a:t>NP</a:t>
            </a:r>
          </a:p>
        </xdr:txBody>
      </xdr:sp>
      <xdr:sp macro="" textlink="">
        <xdr:nvSpPr>
          <xdr:cNvPr id="12" name="TextBox 11"/>
          <xdr:cNvSpPr txBox="1"/>
        </xdr:nvSpPr>
        <xdr:spPr>
          <a:xfrm>
            <a:off x="12382436" y="1205106"/>
            <a:ext cx="158320" cy="180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en-US" sz="1100">
                <a:solidFill>
                  <a:srgbClr val="FF0000"/>
                </a:solidFill>
              </a:rPr>
              <a:t>NS</a:t>
            </a:r>
          </a:p>
        </xdr:txBody>
      </xdr:sp>
      <xdr:sp macro="" textlink="">
        <xdr:nvSpPr>
          <xdr:cNvPr id="13" name="TextBox 12"/>
          <xdr:cNvSpPr txBox="1"/>
        </xdr:nvSpPr>
        <xdr:spPr>
          <a:xfrm>
            <a:off x="11748519" y="2676814"/>
            <a:ext cx="298469" cy="180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en-US" sz="1100">
                <a:solidFill>
                  <a:srgbClr val="FF0000"/>
                </a:solidFill>
              </a:rPr>
              <a:t>Naux</a:t>
            </a:r>
          </a:p>
        </xdr:txBody>
      </xdr:sp>
      <xdr:sp macro="" textlink="">
        <xdr:nvSpPr>
          <xdr:cNvPr id="14" name="TextBox 13"/>
          <xdr:cNvSpPr txBox="1"/>
        </xdr:nvSpPr>
        <xdr:spPr>
          <a:xfrm>
            <a:off x="11574728" y="705151"/>
            <a:ext cx="254053" cy="12626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lang="en-US" sz="1100">
                <a:solidFill>
                  <a:srgbClr val="FF0000"/>
                </a:solidFill>
              </a:rPr>
              <a:t>-</a:t>
            </a:r>
          </a:p>
          <a:p>
            <a:pPr algn="ctr"/>
            <a:endParaRPr lang="en-US" sz="1100">
              <a:solidFill>
                <a:srgbClr val="FF0000"/>
              </a:solidFill>
            </a:endParaRPr>
          </a:p>
          <a:p>
            <a:pPr algn="ctr"/>
            <a:endParaRPr lang="en-US" sz="1100">
              <a:solidFill>
                <a:srgbClr val="FF0000"/>
              </a:solidFill>
            </a:endParaRPr>
          </a:p>
          <a:p>
            <a:pPr algn="ctr"/>
            <a:r>
              <a:rPr lang="en-US" sz="1100">
                <a:solidFill>
                  <a:srgbClr val="FF0000"/>
                </a:solidFill>
              </a:rPr>
              <a:t>VOR</a:t>
            </a:r>
          </a:p>
          <a:p>
            <a:pPr algn="ctr"/>
            <a:endParaRPr lang="en-US" sz="1100">
              <a:solidFill>
                <a:srgbClr val="FF0000"/>
              </a:solidFill>
            </a:endParaRPr>
          </a:p>
          <a:p>
            <a:pPr algn="ctr"/>
            <a:endParaRPr lang="en-US" sz="1100">
              <a:solidFill>
                <a:srgbClr val="FF0000"/>
              </a:solidFill>
            </a:endParaRPr>
          </a:p>
          <a:p>
            <a:pPr algn="ctr"/>
            <a:r>
              <a:rPr lang="en-US" sz="1100">
                <a:solidFill>
                  <a:srgbClr val="FF0000"/>
                </a:solidFill>
              </a:rPr>
              <a:t>+</a:t>
            </a:r>
          </a:p>
        </xdr:txBody>
      </xdr:sp>
      <xdr:sp macro="" textlink="">
        <xdr:nvSpPr>
          <xdr:cNvPr id="15" name="TextBox 14"/>
          <xdr:cNvSpPr txBox="1"/>
        </xdr:nvSpPr>
        <xdr:spPr>
          <a:xfrm>
            <a:off x="13299749" y="479240"/>
            <a:ext cx="156821" cy="180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en-US" sz="1100">
                <a:solidFill>
                  <a:srgbClr val="FF0000"/>
                </a:solidFill>
              </a:rPr>
              <a:t>Vo</a:t>
            </a:r>
          </a:p>
        </xdr:txBody>
      </xdr:sp>
    </xdr:grpSp>
    <xdr:clientData/>
  </xdr:twoCellAnchor>
  <xdr:oneCellAnchor>
    <xdr:from>
      <xdr:col>8</xdr:col>
      <xdr:colOff>60960</xdr:colOff>
      <xdr:row>17</xdr:row>
      <xdr:rowOff>83820</xdr:rowOff>
    </xdr:from>
    <xdr:ext cx="184731" cy="264560"/>
    <xdr:sp macro="" textlink="">
      <xdr:nvSpPr>
        <xdr:cNvPr id="18" name="TextBox 17"/>
        <xdr:cNvSpPr txBox="1"/>
      </xdr:nvSpPr>
      <xdr:spPr>
        <a:xfrm>
          <a:off x="10408920" y="8481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13</xdr:col>
      <xdr:colOff>60960</xdr:colOff>
      <xdr:row>17</xdr:row>
      <xdr:rowOff>83820</xdr:rowOff>
    </xdr:from>
    <xdr:ext cx="184731" cy="264560"/>
    <xdr:sp macro="" textlink="">
      <xdr:nvSpPr>
        <xdr:cNvPr id="19" name="TextBox 18"/>
        <xdr:cNvSpPr txBox="1"/>
      </xdr:nvSpPr>
      <xdr:spPr>
        <a:xfrm>
          <a:off x="10408920" y="97307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20</xdr:col>
      <xdr:colOff>60960</xdr:colOff>
      <xdr:row>17</xdr:row>
      <xdr:rowOff>83820</xdr:rowOff>
    </xdr:from>
    <xdr:ext cx="184731" cy="264560"/>
    <xdr:sp macro="" textlink="">
      <xdr:nvSpPr>
        <xdr:cNvPr id="20" name="TextBox 19"/>
        <xdr:cNvSpPr txBox="1"/>
      </xdr:nvSpPr>
      <xdr:spPr>
        <a:xfrm>
          <a:off x="10408920" y="10980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91445</xdr:colOff>
      <xdr:row>0</xdr:row>
      <xdr:rowOff>53341</xdr:rowOff>
    </xdr:from>
    <xdr:to>
      <xdr:col>0</xdr:col>
      <xdr:colOff>2042334</xdr:colOff>
      <xdr:row>2</xdr:row>
      <xdr:rowOff>106725</xdr:rowOff>
    </xdr:to>
    <xdr:pic>
      <xdr:nvPicPr>
        <xdr:cNvPr id="2" name="Picture 1"/>
        <xdr:cNvPicPr>
          <a:picLocks noChangeAspect="1"/>
        </xdr:cNvPicPr>
      </xdr:nvPicPr>
      <xdr:blipFill>
        <a:blip xmlns:r="http://schemas.openxmlformats.org/officeDocument/2006/relationships" r:embed="rId2"/>
        <a:stretch>
          <a:fillRect/>
        </a:stretch>
      </xdr:blipFill>
      <xdr:spPr>
        <a:xfrm>
          <a:off x="91445" y="53341"/>
          <a:ext cx="1950889" cy="510584"/>
        </a:xfrm>
        <a:prstGeom prst="rect">
          <a:avLst/>
        </a:prstGeom>
      </xdr:spPr>
    </xdr:pic>
    <xdr:clientData/>
  </xdr:twoCellAnchor>
  <xdr:oneCellAnchor>
    <xdr:from>
      <xdr:col>8</xdr:col>
      <xdr:colOff>60960</xdr:colOff>
      <xdr:row>17</xdr:row>
      <xdr:rowOff>83820</xdr:rowOff>
    </xdr:from>
    <xdr:ext cx="184731" cy="264560"/>
    <xdr:sp macro="" textlink="">
      <xdr:nvSpPr>
        <xdr:cNvPr id="21" name="TextBox 20"/>
        <xdr:cNvSpPr txBox="1"/>
      </xdr:nvSpPr>
      <xdr:spPr>
        <a:xfrm>
          <a:off x="9364980"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13</xdr:col>
      <xdr:colOff>60960</xdr:colOff>
      <xdr:row>17</xdr:row>
      <xdr:rowOff>83820</xdr:rowOff>
    </xdr:from>
    <xdr:ext cx="184731" cy="264560"/>
    <xdr:sp macro="" textlink="">
      <xdr:nvSpPr>
        <xdr:cNvPr id="22" name="TextBox 21"/>
        <xdr:cNvSpPr txBox="1"/>
      </xdr:nvSpPr>
      <xdr:spPr>
        <a:xfrm>
          <a:off x="12169140" y="438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16933</xdr:colOff>
      <xdr:row>53</xdr:row>
      <xdr:rowOff>128927</xdr:rowOff>
    </xdr:from>
    <xdr:to>
      <xdr:col>6</xdr:col>
      <xdr:colOff>377168</xdr:colOff>
      <xdr:row>106</xdr:row>
      <xdr:rowOff>55042</xdr:rowOff>
    </xdr:to>
    <xdr:grpSp>
      <xdr:nvGrpSpPr>
        <xdr:cNvPr id="48" name="Group 47"/>
        <xdr:cNvGrpSpPr>
          <a:grpSpLocks noChangeAspect="1"/>
        </xdr:cNvGrpSpPr>
      </xdr:nvGrpSpPr>
      <xdr:grpSpPr>
        <a:xfrm rot="5400000">
          <a:off x="-1484317" y="13342117"/>
          <a:ext cx="10426475" cy="5671375"/>
          <a:chOff x="7915392" y="630566"/>
          <a:chExt cx="8463595" cy="4381880"/>
        </a:xfrm>
      </xdr:grpSpPr>
      <xdr:pic>
        <xdr:nvPicPr>
          <xdr:cNvPr id="49" name="Picture 48"/>
          <xdr:cNvPicPr>
            <a:picLocks noChangeAspect="1"/>
          </xdr:cNvPicPr>
        </xdr:nvPicPr>
        <xdr:blipFill>
          <a:blip xmlns:r="http://schemas.openxmlformats.org/officeDocument/2006/relationships" r:embed="rId1"/>
          <a:stretch>
            <a:fillRect/>
          </a:stretch>
        </xdr:blipFill>
        <xdr:spPr>
          <a:xfrm>
            <a:off x="7935295" y="630566"/>
            <a:ext cx="8443692" cy="4381880"/>
          </a:xfrm>
          <a:prstGeom prst="rect">
            <a:avLst/>
          </a:prstGeom>
        </xdr:spPr>
      </xdr:pic>
      <xdr:sp macro="" textlink="">
        <xdr:nvSpPr>
          <xdr:cNvPr id="50" name="TextBox 49"/>
          <xdr:cNvSpPr txBox="1"/>
        </xdr:nvSpPr>
        <xdr:spPr>
          <a:xfrm>
            <a:off x="10553346" y="1551640"/>
            <a:ext cx="49616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a:solidFill>
                  <a:srgbClr val="FF0000"/>
                </a:solidFill>
              </a:rPr>
              <a:t>Bulk Cap</a:t>
            </a:r>
          </a:p>
        </xdr:txBody>
      </xdr:sp>
      <xdr:sp macro="" textlink="">
        <xdr:nvSpPr>
          <xdr:cNvPr id="51" name="TextBox 50"/>
          <xdr:cNvSpPr txBox="1"/>
        </xdr:nvSpPr>
        <xdr:spPr>
          <a:xfrm>
            <a:off x="7921579" y="2588987"/>
            <a:ext cx="40120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a:solidFill>
                  <a:srgbClr val="FF0000"/>
                </a:solidFill>
              </a:rPr>
              <a:t>Rdema</a:t>
            </a:r>
          </a:p>
        </xdr:txBody>
      </xdr:sp>
      <xdr:sp macro="" textlink="">
        <xdr:nvSpPr>
          <xdr:cNvPr id="52" name="TextBox 51"/>
          <xdr:cNvSpPr txBox="1"/>
        </xdr:nvSpPr>
        <xdr:spPr>
          <a:xfrm>
            <a:off x="7915392" y="3310801"/>
            <a:ext cx="40774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a:solidFill>
                  <a:srgbClr val="FF0000"/>
                </a:solidFill>
              </a:rPr>
              <a:t>Rdemb</a:t>
            </a:r>
          </a:p>
        </xdr:txBody>
      </xdr:sp>
      <xdr:sp macro="" textlink="">
        <xdr:nvSpPr>
          <xdr:cNvPr id="53" name="TextBox 52"/>
          <xdr:cNvSpPr txBox="1"/>
        </xdr:nvSpPr>
        <xdr:spPr>
          <a:xfrm>
            <a:off x="11180161" y="3522798"/>
            <a:ext cx="19139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a:solidFill>
                  <a:srgbClr val="FF0000"/>
                </a:solidFill>
              </a:rPr>
              <a:t>Rcs</a:t>
            </a:r>
          </a:p>
        </xdr:txBody>
      </xdr:sp>
      <xdr:sp macro="" textlink="">
        <xdr:nvSpPr>
          <xdr:cNvPr id="54" name="TextBox 53"/>
          <xdr:cNvSpPr txBox="1"/>
        </xdr:nvSpPr>
        <xdr:spPr>
          <a:xfrm>
            <a:off x="11390654" y="1404840"/>
            <a:ext cx="171970"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a:solidFill>
                  <a:srgbClr val="FF0000"/>
                </a:solidFill>
              </a:rPr>
              <a:t>Lm</a:t>
            </a:r>
          </a:p>
          <a:p>
            <a:r>
              <a:rPr lang="en-US" sz="1100">
                <a:solidFill>
                  <a:srgbClr val="FF0000"/>
                </a:solidFill>
              </a:rPr>
              <a:t>NP</a:t>
            </a:r>
          </a:p>
        </xdr:txBody>
      </xdr:sp>
      <xdr:sp macro="" textlink="">
        <xdr:nvSpPr>
          <xdr:cNvPr id="55" name="TextBox 54"/>
          <xdr:cNvSpPr txBox="1"/>
        </xdr:nvSpPr>
        <xdr:spPr>
          <a:xfrm>
            <a:off x="11826425" y="1486541"/>
            <a:ext cx="15587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a:solidFill>
                  <a:srgbClr val="FF0000"/>
                </a:solidFill>
              </a:rPr>
              <a:t>NS</a:t>
            </a:r>
          </a:p>
        </xdr:txBody>
      </xdr:sp>
      <xdr:sp macro="" textlink="">
        <xdr:nvSpPr>
          <xdr:cNvPr id="56" name="TextBox 55"/>
          <xdr:cNvSpPr txBox="1"/>
        </xdr:nvSpPr>
        <xdr:spPr>
          <a:xfrm>
            <a:off x="11309160" y="2926705"/>
            <a:ext cx="29386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a:solidFill>
                  <a:srgbClr val="FF0000"/>
                </a:solidFill>
              </a:rPr>
              <a:t>Naux</a:t>
            </a:r>
          </a:p>
        </xdr:txBody>
      </xdr:sp>
      <xdr:sp macro="" textlink="">
        <xdr:nvSpPr>
          <xdr:cNvPr id="57" name="TextBox 56"/>
          <xdr:cNvSpPr txBox="1"/>
        </xdr:nvSpPr>
        <xdr:spPr>
          <a:xfrm>
            <a:off x="11308105" y="1172631"/>
            <a:ext cx="250133" cy="12055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lgn="ctr"/>
            <a:r>
              <a:rPr lang="en-US" sz="1100">
                <a:solidFill>
                  <a:srgbClr val="FF0000"/>
                </a:solidFill>
              </a:rPr>
              <a:t>-</a:t>
            </a:r>
          </a:p>
          <a:p>
            <a:pPr algn="ctr"/>
            <a:endParaRPr lang="en-US" sz="1100">
              <a:solidFill>
                <a:srgbClr val="FF0000"/>
              </a:solidFill>
            </a:endParaRPr>
          </a:p>
          <a:p>
            <a:pPr algn="ctr"/>
            <a:endParaRPr lang="en-US" sz="1100">
              <a:solidFill>
                <a:srgbClr val="FF0000"/>
              </a:solidFill>
            </a:endParaRPr>
          </a:p>
          <a:p>
            <a:pPr algn="ctr"/>
            <a:r>
              <a:rPr lang="en-US" sz="1100">
                <a:solidFill>
                  <a:srgbClr val="FF0000"/>
                </a:solidFill>
              </a:rPr>
              <a:t>VOR</a:t>
            </a:r>
          </a:p>
          <a:p>
            <a:pPr algn="ctr"/>
            <a:endParaRPr lang="en-US" sz="1100">
              <a:solidFill>
                <a:srgbClr val="FF0000"/>
              </a:solidFill>
            </a:endParaRPr>
          </a:p>
          <a:p>
            <a:pPr algn="ctr"/>
            <a:endParaRPr lang="en-US" sz="1100">
              <a:solidFill>
                <a:srgbClr val="FF0000"/>
              </a:solidFill>
            </a:endParaRPr>
          </a:p>
          <a:p>
            <a:pPr algn="ctr"/>
            <a:r>
              <a:rPr lang="en-US" sz="1100">
                <a:solidFill>
                  <a:srgbClr val="FF0000"/>
                </a:solidFill>
              </a:rPr>
              <a:t>+</a:t>
            </a:r>
          </a:p>
        </xdr:txBody>
      </xdr:sp>
      <xdr:sp macro="" textlink="">
        <xdr:nvSpPr>
          <xdr:cNvPr id="58" name="TextBox 57"/>
          <xdr:cNvSpPr txBox="1"/>
        </xdr:nvSpPr>
        <xdr:spPr>
          <a:xfrm>
            <a:off x="13040334" y="942040"/>
            <a:ext cx="15440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a:solidFill>
                  <a:srgbClr val="FF0000"/>
                </a:solidFill>
              </a:rPr>
              <a:t>Vo</a:t>
            </a:r>
          </a:p>
        </xdr:txBody>
      </xdr:sp>
    </xdr:grpSp>
    <xdr:clientData/>
  </xdr:twoCellAnchor>
  <xdr:twoCellAnchor>
    <xdr:from>
      <xdr:col>9</xdr:col>
      <xdr:colOff>632460</xdr:colOff>
      <xdr:row>26</xdr:row>
      <xdr:rowOff>106680</xdr:rowOff>
    </xdr:from>
    <xdr:to>
      <xdr:col>18</xdr:col>
      <xdr:colOff>954193</xdr:colOff>
      <xdr:row>52</xdr:row>
      <xdr:rowOff>98213</xdr:rowOff>
    </xdr:to>
    <xdr:graphicFrame macro="">
      <xdr:nvGraphicFramePr>
        <xdr:cNvPr id="60" name="圖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617220</xdr:colOff>
      <xdr:row>0</xdr:row>
      <xdr:rowOff>45720</xdr:rowOff>
    </xdr:from>
    <xdr:to>
      <xdr:col>18</xdr:col>
      <xdr:colOff>938953</xdr:colOff>
      <xdr:row>26</xdr:row>
      <xdr:rowOff>6773</xdr:rowOff>
    </xdr:to>
    <xdr:graphicFrame macro="">
      <xdr:nvGraphicFramePr>
        <xdr:cNvPr id="61" name="圖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12</xdr:col>
      <xdr:colOff>380273</xdr:colOff>
      <xdr:row>4</xdr:row>
      <xdr:rowOff>647940</xdr:rowOff>
    </xdr:from>
    <xdr:ext cx="3852578" cy="955774"/>
    <mc:AlternateContent xmlns:mc="http://schemas.openxmlformats.org/markup-compatibility/2006" xmlns:a14="http://schemas.microsoft.com/office/drawing/2010/main">
      <mc:Choice Requires="a14">
        <xdr:sp macro="" textlink="">
          <xdr:nvSpPr>
            <xdr:cNvPr id="7" name="TextBox 6"/>
            <xdr:cNvSpPr txBox="1"/>
          </xdr:nvSpPr>
          <xdr:spPr>
            <a:xfrm>
              <a:off x="9219473" y="2282007"/>
              <a:ext cx="3852578" cy="955774"/>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en-US" sz="1100" b="0" i="1">
                        <a:latin typeface="Cambria Math"/>
                      </a:rPr>
                      <m:t>𝑇</m:t>
                    </m:r>
                    <m:r>
                      <a:rPr lang="en-US" sz="1100" b="0" i="1" baseline="-20000">
                        <a:latin typeface="Cambria Math"/>
                      </a:rPr>
                      <m:t>𝑃𝑀𝑂𝑆</m:t>
                    </m:r>
                    <m:r>
                      <a:rPr lang="en-US" sz="1100" b="0" i="1" baseline="-20000">
                        <a:latin typeface="Cambria Math"/>
                      </a:rPr>
                      <m:t>_</m:t>
                    </m:r>
                    <m:r>
                      <a:rPr lang="en-US" sz="1100" b="0" i="1" baseline="-20000">
                        <a:latin typeface="Cambria Math"/>
                      </a:rPr>
                      <m:t>𝑂𝑁</m:t>
                    </m:r>
                    <m:r>
                      <a:rPr lang="en-US" sz="1100" b="0" i="1">
                        <a:latin typeface="Cambria Math"/>
                      </a:rPr>
                      <m:t>=</m:t>
                    </m:r>
                    <m:r>
                      <a:rPr lang="en-US" sz="1100" b="0" i="1">
                        <a:latin typeface="Cambria Math"/>
                      </a:rPr>
                      <m:t>𝐾</m:t>
                    </m:r>
                    <m:r>
                      <a:rPr lang="en-US" sz="1100" b="0" i="1">
                        <a:latin typeface="Cambria Math"/>
                        <a:ea typeface="Cambria Math"/>
                      </a:rPr>
                      <m:t>×</m:t>
                    </m:r>
                    <m:f>
                      <m:fPr>
                        <m:ctrlPr>
                          <a:rPr lang="en-US" sz="1100" b="0" i="1">
                            <a:latin typeface="Cambria Math"/>
                            <a:ea typeface="Cambria Math"/>
                          </a:rPr>
                        </m:ctrlPr>
                      </m:fPr>
                      <m:num>
                        <m:sSub>
                          <m:sSubPr>
                            <m:ctrlPr>
                              <a:rPr lang="en-US" sz="1100" b="0" i="1">
                                <a:latin typeface="Cambria Math"/>
                                <a:ea typeface="Cambria Math"/>
                              </a:rPr>
                            </m:ctrlPr>
                          </m:sSubPr>
                          <m:e>
                            <m:r>
                              <a:rPr lang="en-US" sz="1100" b="0" i="1">
                                <a:latin typeface="Cambria Math"/>
                                <a:ea typeface="Cambria Math"/>
                              </a:rPr>
                              <m:t>𝐼𝐷𝐸𝑀𝐺</m:t>
                            </m:r>
                          </m:e>
                          <m:sub>
                            <m:r>
                              <a:rPr lang="en-US" sz="1100" b="0" i="1">
                                <a:latin typeface="Cambria Math"/>
                                <a:ea typeface="Cambria Math"/>
                              </a:rPr>
                              <m:t>𝐿𝐼𝑁𝐸</m:t>
                            </m:r>
                          </m:sub>
                        </m:sSub>
                      </m:num>
                      <m:den>
                        <m:sSub>
                          <m:sSubPr>
                            <m:ctrlPr>
                              <a:rPr lang="en-US" sz="1100" b="0" i="1">
                                <a:latin typeface="Cambria Math"/>
                                <a:ea typeface="Cambria Math"/>
                              </a:rPr>
                            </m:ctrlPr>
                          </m:sSubPr>
                          <m:e>
                            <m:r>
                              <a:rPr lang="en-US" sz="1100" b="0" i="1">
                                <a:latin typeface="Cambria Math"/>
                                <a:ea typeface="Cambria Math"/>
                              </a:rPr>
                              <m:t>𝑉𝐷𝐸𝑀𝐺</m:t>
                            </m:r>
                          </m:e>
                          <m:sub>
                            <m:r>
                              <a:rPr lang="en-US" sz="1100" b="0" i="1">
                                <a:latin typeface="Cambria Math"/>
                                <a:ea typeface="Cambria Math"/>
                              </a:rPr>
                              <m:t>𝑉𝑂𝑈𝑇</m:t>
                            </m:r>
                          </m:sub>
                        </m:sSub>
                      </m:den>
                    </m:f>
                    <m:r>
                      <a:rPr lang="en-US" sz="1100" b="0" i="1">
                        <a:latin typeface="Cambria Math"/>
                        <a:ea typeface="Cambria Math"/>
                      </a:rPr>
                      <m:t>+</m:t>
                    </m:r>
                    <m:r>
                      <a:rPr lang="en-US" sz="1100" b="0" i="1">
                        <a:latin typeface="Cambria Math"/>
                        <a:ea typeface="Cambria Math"/>
                      </a:rPr>
                      <m:t>𝑇𝑗𝑖𝑡𝑡𝑒𝑟</m:t>
                    </m:r>
                  </m:oMath>
                </m:oMathPara>
              </a14:m>
              <a:endParaRPr lang="en-US" sz="1100"/>
            </a:p>
            <a:p>
              <a:endParaRPr lang="en-US" sz="1100"/>
            </a:p>
            <a:p>
              <a:r>
                <a:rPr lang="en-US" sz="1100"/>
                <a:t>where, </a:t>
              </a:r>
              <a14:m>
                <m:oMath xmlns:m="http://schemas.openxmlformats.org/officeDocument/2006/math">
                  <m:r>
                    <a:rPr lang="en-US" sz="1100" b="0" i="1">
                      <a:solidFill>
                        <a:schemeClr val="tx1"/>
                      </a:solidFill>
                      <a:effectLst/>
                      <a:latin typeface="Cambria Math"/>
                      <a:ea typeface="+mn-ea"/>
                      <a:cs typeface="+mn-cs"/>
                    </a:rPr>
                    <m:t>𝐾</m:t>
                  </m:r>
                  <m:r>
                    <a:rPr lang="en-US" sz="1100" b="0" i="1">
                      <a:solidFill>
                        <a:schemeClr val="tx1"/>
                      </a:solidFill>
                      <a:effectLst/>
                      <a:latin typeface="Cambria Math"/>
                      <a:ea typeface="+mn-ea"/>
                      <a:cs typeface="+mn-cs"/>
                    </a:rPr>
                    <m:t>=3333 </m:t>
                  </m:r>
                  <m:r>
                    <m:rPr>
                      <m:sty m:val="p"/>
                    </m:rPr>
                    <a:rPr lang="en-US" altLang="zh-TW" sz="1100" b="0" i="0">
                      <a:solidFill>
                        <a:schemeClr val="tx1"/>
                      </a:solidFill>
                      <a:effectLst/>
                      <a:latin typeface="Cambria Math"/>
                      <a:ea typeface="+mn-ea"/>
                      <a:cs typeface="+mn-cs"/>
                    </a:rPr>
                    <m:t>Ω</m:t>
                  </m:r>
                  <m:r>
                    <a:rPr lang="en-US" altLang="zh-TW" sz="1100" b="0" i="1">
                      <a:solidFill>
                        <a:schemeClr val="tx1"/>
                      </a:solidFill>
                      <a:effectLst/>
                      <a:latin typeface="Cambria Math"/>
                      <a:ea typeface="Cambria Math"/>
                      <a:cs typeface="+mn-cs"/>
                    </a:rPr>
                    <m:t>∙</m:t>
                  </m:r>
                  <m:r>
                    <a:rPr lang="zh-TW" altLang="en-US" sz="1100" b="0" i="1">
                      <a:solidFill>
                        <a:schemeClr val="tx1"/>
                      </a:solidFill>
                      <a:effectLst/>
                      <a:latin typeface="Cambria Math"/>
                      <a:ea typeface="Cambria Math"/>
                      <a:cs typeface="+mn-cs"/>
                    </a:rPr>
                    <m:t>𝜇</m:t>
                  </m:r>
                  <m:r>
                    <a:rPr lang="en-US" altLang="zh-TW" sz="1100" b="0" i="1">
                      <a:solidFill>
                        <a:schemeClr val="tx1"/>
                      </a:solidFill>
                      <a:effectLst/>
                      <a:latin typeface="Cambria Math"/>
                      <a:ea typeface="Cambria Math"/>
                      <a:cs typeface="+mn-cs"/>
                    </a:rPr>
                    <m:t>𝑠</m:t>
                  </m:r>
                </m:oMath>
              </a14:m>
              <a:r>
                <a:rPr lang="en-US" sz="1100"/>
                <a:t>, </a:t>
              </a:r>
              <a14:m>
                <m:oMath xmlns:m="http://schemas.openxmlformats.org/officeDocument/2006/math">
                  <m:r>
                    <a:rPr lang="en-US" sz="1100" b="0" i="1">
                      <a:solidFill>
                        <a:schemeClr val="tx1"/>
                      </a:solidFill>
                      <a:effectLst/>
                      <a:latin typeface="Cambria Math"/>
                      <a:ea typeface="+mn-ea"/>
                      <a:cs typeface="+mn-cs"/>
                    </a:rPr>
                    <m:t>𝑇𝑗𝑖𝑡𝑡𝑒𝑟</m:t>
                  </m:r>
                  <m:r>
                    <a:rPr lang="en-US" sz="1100" b="0" i="1">
                      <a:solidFill>
                        <a:schemeClr val="tx1"/>
                      </a:solidFill>
                      <a:effectLst/>
                      <a:latin typeface="Cambria Math"/>
                      <a:ea typeface="+mn-ea"/>
                      <a:cs typeface="+mn-cs"/>
                    </a:rPr>
                    <m:t>=400</m:t>
                  </m:r>
                  <m:r>
                    <a:rPr lang="en-US" sz="1100" b="0" i="1">
                      <a:solidFill>
                        <a:schemeClr val="tx1"/>
                      </a:solidFill>
                      <a:effectLst/>
                      <a:latin typeface="Cambria Math"/>
                      <a:ea typeface="+mn-ea"/>
                      <a:cs typeface="+mn-cs"/>
                    </a:rPr>
                    <m:t>𝑛𝑠</m:t>
                  </m:r>
                  <m:r>
                    <a:rPr lang="en-US" sz="1100" b="0" i="1">
                      <a:solidFill>
                        <a:schemeClr val="tx1"/>
                      </a:solidFill>
                      <a:effectLst/>
                      <a:latin typeface="Cambria Math"/>
                      <a:ea typeface="+mn-ea"/>
                      <a:cs typeface="+mn-cs"/>
                    </a:rPr>
                    <m:t> ~1200</m:t>
                  </m:r>
                  <m:r>
                    <a:rPr lang="en-US" sz="1100" b="0" i="1">
                      <a:solidFill>
                        <a:schemeClr val="tx1"/>
                      </a:solidFill>
                      <a:effectLst/>
                      <a:latin typeface="Cambria Math"/>
                      <a:ea typeface="+mn-ea"/>
                      <a:cs typeface="+mn-cs"/>
                    </a:rPr>
                    <m:t>𝑛𝑠</m:t>
                  </m:r>
                  <m:r>
                    <a:rPr lang="en-US" sz="1100" b="0" i="1">
                      <a:solidFill>
                        <a:schemeClr val="tx1"/>
                      </a:solidFill>
                      <a:effectLst/>
                      <a:latin typeface="Cambria Math"/>
                      <a:ea typeface="+mn-ea"/>
                      <a:cs typeface="+mn-cs"/>
                    </a:rPr>
                    <m:t>. </m:t>
                  </m:r>
                </m:oMath>
              </a14:m>
              <a:endParaRPr lang="en-US" sz="1100" b="0">
                <a:solidFill>
                  <a:schemeClr val="tx1"/>
                </a:solidFill>
                <a:effectLst/>
                <a:ea typeface="+mn-ea"/>
                <a:cs typeface="+mn-cs"/>
              </a:endParaRPr>
            </a:p>
            <a:p>
              <a:r>
                <a:rPr lang="en-US" sz="1100"/>
                <a:t>Torlance</a:t>
              </a:r>
              <a:r>
                <a:rPr lang="en-US" sz="1100" baseline="0"/>
                <a:t> of K and Tjitter is ±10%.</a:t>
              </a:r>
              <a:endParaRPr lang="en-US" sz="1100"/>
            </a:p>
          </xdr:txBody>
        </xdr:sp>
      </mc:Choice>
      <mc:Fallback xmlns="">
        <xdr:sp macro="" textlink="">
          <xdr:nvSpPr>
            <xdr:cNvPr id="7" name="TextBox 6"/>
            <xdr:cNvSpPr txBox="1"/>
          </xdr:nvSpPr>
          <xdr:spPr>
            <a:xfrm>
              <a:off x="9219473" y="2282007"/>
              <a:ext cx="3852578" cy="955774"/>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𝑇</a:t>
              </a:r>
              <a:r>
                <a:rPr lang="en-US" sz="1100" b="0" i="0" baseline="-20000">
                  <a:latin typeface="Cambria Math"/>
                </a:rPr>
                <a:t>𝑃𝑀𝑂𝑆_𝑂𝑁</a:t>
              </a:r>
              <a:r>
                <a:rPr lang="en-US" sz="1100" b="0" i="0">
                  <a:latin typeface="Cambria Math"/>
                </a:rPr>
                <a:t>=𝐾</a:t>
              </a:r>
              <a:r>
                <a:rPr lang="en-US" sz="1100" b="0" i="0">
                  <a:latin typeface="Cambria Math"/>
                  <a:ea typeface="Cambria Math"/>
                </a:rPr>
                <a:t>×〖𝐼𝐷𝐸𝑀𝐺〗_𝐿𝐼𝑁𝐸/〖𝑉𝐷𝐸𝑀𝐺〗_𝑉𝑂𝑈𝑇 +𝑇𝑗𝑖𝑡𝑡𝑒𝑟</a:t>
              </a:r>
              <a:endParaRPr lang="en-US" sz="1100"/>
            </a:p>
            <a:p>
              <a:endParaRPr lang="en-US" sz="1100"/>
            </a:p>
            <a:p>
              <a:r>
                <a:rPr lang="en-US" sz="1100"/>
                <a:t>where, </a:t>
              </a:r>
              <a:r>
                <a:rPr lang="en-US" sz="1100" b="0" i="0">
                  <a:solidFill>
                    <a:schemeClr val="tx1"/>
                  </a:solidFill>
                  <a:effectLst/>
                  <a:latin typeface="Cambria Math"/>
                  <a:ea typeface="+mn-ea"/>
                  <a:cs typeface="+mn-cs"/>
                </a:rPr>
                <a:t>𝐾=3333 </a:t>
              </a:r>
              <a:r>
                <a:rPr lang="en-US" altLang="zh-TW" sz="1100" b="0" i="0">
                  <a:solidFill>
                    <a:schemeClr val="tx1"/>
                  </a:solidFill>
                  <a:effectLst/>
                  <a:latin typeface="Cambria Math"/>
                  <a:ea typeface="+mn-ea"/>
                  <a:cs typeface="+mn-cs"/>
                </a:rPr>
                <a:t>Ω</a:t>
              </a:r>
              <a:r>
                <a:rPr lang="en-US" altLang="zh-TW" sz="1100" b="0" i="0">
                  <a:solidFill>
                    <a:schemeClr val="tx1"/>
                  </a:solidFill>
                  <a:effectLst/>
                  <a:latin typeface="Cambria Math"/>
                  <a:ea typeface="Cambria Math"/>
                  <a:cs typeface="+mn-cs"/>
                </a:rPr>
                <a:t>∙</a:t>
              </a:r>
              <a:r>
                <a:rPr lang="zh-TW" altLang="en-US" sz="1100" b="0" i="0">
                  <a:solidFill>
                    <a:schemeClr val="tx1"/>
                  </a:solidFill>
                  <a:effectLst/>
                  <a:latin typeface="Cambria Math"/>
                  <a:ea typeface="Cambria Math"/>
                  <a:cs typeface="+mn-cs"/>
                </a:rPr>
                <a:t>𝜇</a:t>
              </a:r>
              <a:r>
                <a:rPr lang="en-US" altLang="zh-TW" sz="1100" b="0" i="0">
                  <a:solidFill>
                    <a:schemeClr val="tx1"/>
                  </a:solidFill>
                  <a:effectLst/>
                  <a:latin typeface="Cambria Math"/>
                  <a:ea typeface="Cambria Math"/>
                  <a:cs typeface="+mn-cs"/>
                </a:rPr>
                <a:t>𝑠</a:t>
              </a:r>
              <a:r>
                <a:rPr lang="en-US" sz="1100"/>
                <a:t>, </a:t>
              </a:r>
              <a:r>
                <a:rPr lang="en-US" sz="1100" b="0" i="0">
                  <a:solidFill>
                    <a:schemeClr val="tx1"/>
                  </a:solidFill>
                  <a:effectLst/>
                  <a:latin typeface="Cambria Math"/>
                  <a:ea typeface="+mn-ea"/>
                  <a:cs typeface="+mn-cs"/>
                </a:rPr>
                <a:t>𝑇𝑗𝑖𝑡𝑡𝑒𝑟=400𝑛𝑠 ~1200𝑛𝑠. </a:t>
              </a:r>
              <a:endParaRPr lang="en-US" sz="1100" b="0">
                <a:solidFill>
                  <a:schemeClr val="tx1"/>
                </a:solidFill>
                <a:effectLst/>
                <a:ea typeface="+mn-ea"/>
                <a:cs typeface="+mn-cs"/>
              </a:endParaRPr>
            </a:p>
            <a:p>
              <a:r>
                <a:rPr lang="en-US" sz="1100"/>
                <a:t>Torlance</a:t>
              </a:r>
              <a:r>
                <a:rPr lang="en-US" sz="1100" baseline="0"/>
                <a:t> of K and Tjitter is ±10%.</a:t>
              </a:r>
              <a:endParaRPr lang="en-US" sz="1100"/>
            </a:p>
          </xdr:txBody>
        </xdr:sp>
      </mc:Fallback>
    </mc:AlternateContent>
    <xdr:clientData/>
  </xdr:oneCellAnchor>
  <xdr:twoCellAnchor>
    <xdr:from>
      <xdr:col>1</xdr:col>
      <xdr:colOff>93133</xdr:colOff>
      <xdr:row>29</xdr:row>
      <xdr:rowOff>33867</xdr:rowOff>
    </xdr:from>
    <xdr:to>
      <xdr:col>9</xdr:col>
      <xdr:colOff>694266</xdr:colOff>
      <xdr:row>54</xdr:row>
      <xdr:rowOff>203200</xdr:rowOff>
    </xdr:to>
    <xdr:graphicFrame macro="">
      <xdr:nvGraphicFramePr>
        <xdr:cNvPr id="9" name="圖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14</xdr:col>
      <xdr:colOff>60960</xdr:colOff>
      <xdr:row>30</xdr:row>
      <xdr:rowOff>83820</xdr:rowOff>
    </xdr:from>
    <xdr:ext cx="184731" cy="264560"/>
    <xdr:sp macro="" textlink="">
      <xdr:nvSpPr>
        <xdr:cNvPr id="5" name="TextBox 4"/>
        <xdr:cNvSpPr txBox="1"/>
      </xdr:nvSpPr>
      <xdr:spPr>
        <a:xfrm>
          <a:off x="9852660" y="975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39</xdr:row>
      <xdr:rowOff>83820</xdr:rowOff>
    </xdr:from>
    <xdr:ext cx="184731" cy="264560"/>
    <xdr:sp macro="" textlink="">
      <xdr:nvSpPr>
        <xdr:cNvPr id="6" name="TextBox 5"/>
        <xdr:cNvSpPr txBox="1"/>
      </xdr:nvSpPr>
      <xdr:spPr>
        <a:xfrm>
          <a:off x="10373360" y="84150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48</xdr:row>
      <xdr:rowOff>83820</xdr:rowOff>
    </xdr:from>
    <xdr:ext cx="184731" cy="264560"/>
    <xdr:sp macro="" textlink="">
      <xdr:nvSpPr>
        <xdr:cNvPr id="8" name="TextBox 7"/>
        <xdr:cNvSpPr txBox="1"/>
      </xdr:nvSpPr>
      <xdr:spPr>
        <a:xfrm>
          <a:off x="10373360" y="84150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40</xdr:row>
      <xdr:rowOff>83820</xdr:rowOff>
    </xdr:from>
    <xdr:ext cx="184731" cy="264560"/>
    <xdr:sp macro="" textlink="">
      <xdr:nvSpPr>
        <xdr:cNvPr id="28" name="TextBox 27"/>
        <xdr:cNvSpPr txBox="1"/>
      </xdr:nvSpPr>
      <xdr:spPr>
        <a:xfrm>
          <a:off x="10373360" y="10218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41</xdr:row>
      <xdr:rowOff>83820</xdr:rowOff>
    </xdr:from>
    <xdr:ext cx="184731" cy="264560"/>
    <xdr:sp macro="" textlink="">
      <xdr:nvSpPr>
        <xdr:cNvPr id="29" name="TextBox 28"/>
        <xdr:cNvSpPr txBox="1"/>
      </xdr:nvSpPr>
      <xdr:spPr>
        <a:xfrm>
          <a:off x="10373360" y="10218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42</xdr:row>
      <xdr:rowOff>83820</xdr:rowOff>
    </xdr:from>
    <xdr:ext cx="184731" cy="264560"/>
    <xdr:sp macro="" textlink="">
      <xdr:nvSpPr>
        <xdr:cNvPr id="30" name="TextBox 29"/>
        <xdr:cNvSpPr txBox="1"/>
      </xdr:nvSpPr>
      <xdr:spPr>
        <a:xfrm>
          <a:off x="10373360" y="104131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42</xdr:row>
      <xdr:rowOff>83820</xdr:rowOff>
    </xdr:from>
    <xdr:ext cx="184731" cy="264560"/>
    <xdr:sp macro="" textlink="">
      <xdr:nvSpPr>
        <xdr:cNvPr id="31" name="TextBox 30"/>
        <xdr:cNvSpPr txBox="1"/>
      </xdr:nvSpPr>
      <xdr:spPr>
        <a:xfrm>
          <a:off x="10373360" y="10218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43</xdr:row>
      <xdr:rowOff>83820</xdr:rowOff>
    </xdr:from>
    <xdr:ext cx="184731" cy="264560"/>
    <xdr:sp macro="" textlink="">
      <xdr:nvSpPr>
        <xdr:cNvPr id="32" name="TextBox 31"/>
        <xdr:cNvSpPr txBox="1"/>
      </xdr:nvSpPr>
      <xdr:spPr>
        <a:xfrm>
          <a:off x="10373360" y="104131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43</xdr:row>
      <xdr:rowOff>83820</xdr:rowOff>
    </xdr:from>
    <xdr:ext cx="184731" cy="264560"/>
    <xdr:sp macro="" textlink="">
      <xdr:nvSpPr>
        <xdr:cNvPr id="33" name="TextBox 32"/>
        <xdr:cNvSpPr txBox="1"/>
      </xdr:nvSpPr>
      <xdr:spPr>
        <a:xfrm>
          <a:off x="10373360" y="10218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44</xdr:row>
      <xdr:rowOff>83820</xdr:rowOff>
    </xdr:from>
    <xdr:ext cx="184731" cy="264560"/>
    <xdr:sp macro="" textlink="">
      <xdr:nvSpPr>
        <xdr:cNvPr id="34" name="TextBox 33"/>
        <xdr:cNvSpPr txBox="1"/>
      </xdr:nvSpPr>
      <xdr:spPr>
        <a:xfrm>
          <a:off x="10373360" y="104131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45</xdr:row>
      <xdr:rowOff>83820</xdr:rowOff>
    </xdr:from>
    <xdr:ext cx="184731" cy="264560"/>
    <xdr:sp macro="" textlink="">
      <xdr:nvSpPr>
        <xdr:cNvPr id="36" name="TextBox 35"/>
        <xdr:cNvSpPr txBox="1"/>
      </xdr:nvSpPr>
      <xdr:spPr>
        <a:xfrm>
          <a:off x="10373360" y="104131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49</xdr:row>
      <xdr:rowOff>83820</xdr:rowOff>
    </xdr:from>
    <xdr:ext cx="184731" cy="264560"/>
    <xdr:sp macro="" textlink="">
      <xdr:nvSpPr>
        <xdr:cNvPr id="37" name="TextBox 36"/>
        <xdr:cNvSpPr txBox="1"/>
      </xdr:nvSpPr>
      <xdr:spPr>
        <a:xfrm>
          <a:off x="10373360" y="119710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50</xdr:row>
      <xdr:rowOff>83820</xdr:rowOff>
    </xdr:from>
    <xdr:ext cx="184731" cy="264560"/>
    <xdr:sp macro="" textlink="">
      <xdr:nvSpPr>
        <xdr:cNvPr id="38" name="TextBox 37"/>
        <xdr:cNvSpPr txBox="1"/>
      </xdr:nvSpPr>
      <xdr:spPr>
        <a:xfrm>
          <a:off x="10373360" y="119710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51</xdr:row>
      <xdr:rowOff>83820</xdr:rowOff>
    </xdr:from>
    <xdr:ext cx="184731" cy="264560"/>
    <xdr:sp macro="" textlink="">
      <xdr:nvSpPr>
        <xdr:cNvPr id="39" name="TextBox 38"/>
        <xdr:cNvSpPr txBox="1"/>
      </xdr:nvSpPr>
      <xdr:spPr>
        <a:xfrm>
          <a:off x="10373360" y="121657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51</xdr:row>
      <xdr:rowOff>83820</xdr:rowOff>
    </xdr:from>
    <xdr:ext cx="184731" cy="264560"/>
    <xdr:sp macro="" textlink="">
      <xdr:nvSpPr>
        <xdr:cNvPr id="40" name="TextBox 39"/>
        <xdr:cNvSpPr txBox="1"/>
      </xdr:nvSpPr>
      <xdr:spPr>
        <a:xfrm>
          <a:off x="10373360" y="119710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52</xdr:row>
      <xdr:rowOff>83820</xdr:rowOff>
    </xdr:from>
    <xdr:ext cx="184731" cy="264560"/>
    <xdr:sp macro="" textlink="">
      <xdr:nvSpPr>
        <xdr:cNvPr id="41" name="TextBox 40"/>
        <xdr:cNvSpPr txBox="1"/>
      </xdr:nvSpPr>
      <xdr:spPr>
        <a:xfrm>
          <a:off x="10373360" y="121657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52</xdr:row>
      <xdr:rowOff>83820</xdr:rowOff>
    </xdr:from>
    <xdr:ext cx="184731" cy="264560"/>
    <xdr:sp macro="" textlink="">
      <xdr:nvSpPr>
        <xdr:cNvPr id="42" name="TextBox 41"/>
        <xdr:cNvSpPr txBox="1"/>
      </xdr:nvSpPr>
      <xdr:spPr>
        <a:xfrm>
          <a:off x="10373360" y="119710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53</xdr:row>
      <xdr:rowOff>83820</xdr:rowOff>
    </xdr:from>
    <xdr:ext cx="184731" cy="264560"/>
    <xdr:sp macro="" textlink="">
      <xdr:nvSpPr>
        <xdr:cNvPr id="43" name="TextBox 42"/>
        <xdr:cNvSpPr txBox="1"/>
      </xdr:nvSpPr>
      <xdr:spPr>
        <a:xfrm>
          <a:off x="10373360" y="121657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53</xdr:row>
      <xdr:rowOff>83820</xdr:rowOff>
    </xdr:from>
    <xdr:ext cx="184731" cy="264560"/>
    <xdr:sp macro="" textlink="">
      <xdr:nvSpPr>
        <xdr:cNvPr id="44" name="TextBox 43"/>
        <xdr:cNvSpPr txBox="1"/>
      </xdr:nvSpPr>
      <xdr:spPr>
        <a:xfrm>
          <a:off x="10373360" y="119710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54</xdr:row>
      <xdr:rowOff>83820</xdr:rowOff>
    </xdr:from>
    <xdr:ext cx="184731" cy="264560"/>
    <xdr:sp macro="" textlink="">
      <xdr:nvSpPr>
        <xdr:cNvPr id="45" name="TextBox 44"/>
        <xdr:cNvSpPr txBox="1"/>
      </xdr:nvSpPr>
      <xdr:spPr>
        <a:xfrm>
          <a:off x="10373360" y="121657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40</xdr:row>
      <xdr:rowOff>83820</xdr:rowOff>
    </xdr:from>
    <xdr:ext cx="184731" cy="264560"/>
    <xdr:sp macro="" textlink="">
      <xdr:nvSpPr>
        <xdr:cNvPr id="24" name="TextBox 23"/>
        <xdr:cNvSpPr txBox="1"/>
      </xdr:nvSpPr>
      <xdr:spPr>
        <a:xfrm>
          <a:off x="10408920" y="105079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41</xdr:row>
      <xdr:rowOff>83820</xdr:rowOff>
    </xdr:from>
    <xdr:ext cx="184731" cy="264560"/>
    <xdr:sp macro="" textlink="">
      <xdr:nvSpPr>
        <xdr:cNvPr id="25" name="TextBox 24"/>
        <xdr:cNvSpPr txBox="1"/>
      </xdr:nvSpPr>
      <xdr:spPr>
        <a:xfrm>
          <a:off x="10408920"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42</xdr:row>
      <xdr:rowOff>83820</xdr:rowOff>
    </xdr:from>
    <xdr:ext cx="184731" cy="264560"/>
    <xdr:sp macro="" textlink="">
      <xdr:nvSpPr>
        <xdr:cNvPr id="26" name="TextBox 25"/>
        <xdr:cNvSpPr txBox="1"/>
      </xdr:nvSpPr>
      <xdr:spPr>
        <a:xfrm>
          <a:off x="10408920" y="10904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42</xdr:row>
      <xdr:rowOff>83820</xdr:rowOff>
    </xdr:from>
    <xdr:ext cx="184731" cy="264560"/>
    <xdr:sp macro="" textlink="">
      <xdr:nvSpPr>
        <xdr:cNvPr id="27" name="TextBox 26"/>
        <xdr:cNvSpPr txBox="1"/>
      </xdr:nvSpPr>
      <xdr:spPr>
        <a:xfrm>
          <a:off x="10408920" y="10904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43</xdr:row>
      <xdr:rowOff>83820</xdr:rowOff>
    </xdr:from>
    <xdr:ext cx="184731" cy="264560"/>
    <xdr:sp macro="" textlink="">
      <xdr:nvSpPr>
        <xdr:cNvPr id="35" name="TextBox 34"/>
        <xdr:cNvSpPr txBox="1"/>
      </xdr:nvSpPr>
      <xdr:spPr>
        <a:xfrm>
          <a:off x="10408920" y="111023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43</xdr:row>
      <xdr:rowOff>83820</xdr:rowOff>
    </xdr:from>
    <xdr:ext cx="184731" cy="264560"/>
    <xdr:sp macro="" textlink="">
      <xdr:nvSpPr>
        <xdr:cNvPr id="46" name="TextBox 45"/>
        <xdr:cNvSpPr txBox="1"/>
      </xdr:nvSpPr>
      <xdr:spPr>
        <a:xfrm>
          <a:off x="10408920" y="111023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44</xdr:row>
      <xdr:rowOff>83820</xdr:rowOff>
    </xdr:from>
    <xdr:ext cx="184731" cy="264560"/>
    <xdr:sp macro="" textlink="">
      <xdr:nvSpPr>
        <xdr:cNvPr id="47" name="TextBox 46"/>
        <xdr:cNvSpPr txBox="1"/>
      </xdr:nvSpPr>
      <xdr:spPr>
        <a:xfrm>
          <a:off x="10408920" y="113004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45</xdr:row>
      <xdr:rowOff>83820</xdr:rowOff>
    </xdr:from>
    <xdr:ext cx="184731" cy="264560"/>
    <xdr:sp macro="" textlink="">
      <xdr:nvSpPr>
        <xdr:cNvPr id="48" name="TextBox 47"/>
        <xdr:cNvSpPr txBox="1"/>
      </xdr:nvSpPr>
      <xdr:spPr>
        <a:xfrm>
          <a:off x="10408920" y="11498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49</xdr:row>
      <xdr:rowOff>83820</xdr:rowOff>
    </xdr:from>
    <xdr:ext cx="184731" cy="264560"/>
    <xdr:sp macro="" textlink="">
      <xdr:nvSpPr>
        <xdr:cNvPr id="49" name="TextBox 48"/>
        <xdr:cNvSpPr txBox="1"/>
      </xdr:nvSpPr>
      <xdr:spPr>
        <a:xfrm>
          <a:off x="10408920" y="12291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50</xdr:row>
      <xdr:rowOff>83820</xdr:rowOff>
    </xdr:from>
    <xdr:ext cx="184731" cy="264560"/>
    <xdr:sp macro="" textlink="">
      <xdr:nvSpPr>
        <xdr:cNvPr id="50" name="TextBox 49"/>
        <xdr:cNvSpPr txBox="1"/>
      </xdr:nvSpPr>
      <xdr:spPr>
        <a:xfrm>
          <a:off x="10408920" y="124891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51</xdr:row>
      <xdr:rowOff>83820</xdr:rowOff>
    </xdr:from>
    <xdr:ext cx="184731" cy="264560"/>
    <xdr:sp macro="" textlink="">
      <xdr:nvSpPr>
        <xdr:cNvPr id="51" name="TextBox 50"/>
        <xdr:cNvSpPr txBox="1"/>
      </xdr:nvSpPr>
      <xdr:spPr>
        <a:xfrm>
          <a:off x="10408920" y="1268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51</xdr:row>
      <xdr:rowOff>83820</xdr:rowOff>
    </xdr:from>
    <xdr:ext cx="184731" cy="264560"/>
    <xdr:sp macro="" textlink="">
      <xdr:nvSpPr>
        <xdr:cNvPr id="52" name="TextBox 51"/>
        <xdr:cNvSpPr txBox="1"/>
      </xdr:nvSpPr>
      <xdr:spPr>
        <a:xfrm>
          <a:off x="10408920" y="1268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52</xdr:row>
      <xdr:rowOff>83820</xdr:rowOff>
    </xdr:from>
    <xdr:ext cx="184731" cy="264560"/>
    <xdr:sp macro="" textlink="">
      <xdr:nvSpPr>
        <xdr:cNvPr id="53" name="TextBox 52"/>
        <xdr:cNvSpPr txBox="1"/>
      </xdr:nvSpPr>
      <xdr:spPr>
        <a:xfrm>
          <a:off x="10408920" y="12885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52</xdr:row>
      <xdr:rowOff>83820</xdr:rowOff>
    </xdr:from>
    <xdr:ext cx="184731" cy="264560"/>
    <xdr:sp macro="" textlink="">
      <xdr:nvSpPr>
        <xdr:cNvPr id="54" name="TextBox 53"/>
        <xdr:cNvSpPr txBox="1"/>
      </xdr:nvSpPr>
      <xdr:spPr>
        <a:xfrm>
          <a:off x="10408920" y="12885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53</xdr:row>
      <xdr:rowOff>83820</xdr:rowOff>
    </xdr:from>
    <xdr:ext cx="184731" cy="264560"/>
    <xdr:sp macro="" textlink="">
      <xdr:nvSpPr>
        <xdr:cNvPr id="55" name="TextBox 54"/>
        <xdr:cNvSpPr txBox="1"/>
      </xdr:nvSpPr>
      <xdr:spPr>
        <a:xfrm>
          <a:off x="10408920" y="13083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53</xdr:row>
      <xdr:rowOff>83820</xdr:rowOff>
    </xdr:from>
    <xdr:ext cx="184731" cy="264560"/>
    <xdr:sp macro="" textlink="">
      <xdr:nvSpPr>
        <xdr:cNvPr id="56" name="TextBox 55"/>
        <xdr:cNvSpPr txBox="1"/>
      </xdr:nvSpPr>
      <xdr:spPr>
        <a:xfrm>
          <a:off x="10408920" y="13083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60960</xdr:colOff>
      <xdr:row>54</xdr:row>
      <xdr:rowOff>83820</xdr:rowOff>
    </xdr:from>
    <xdr:ext cx="184731" cy="264560"/>
    <xdr:sp macro="" textlink="">
      <xdr:nvSpPr>
        <xdr:cNvPr id="57" name="TextBox 56"/>
        <xdr:cNvSpPr txBox="1"/>
      </xdr:nvSpPr>
      <xdr:spPr>
        <a:xfrm>
          <a:off x="10408920" y="13281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17</xdr:col>
      <xdr:colOff>0</xdr:colOff>
      <xdr:row>29</xdr:row>
      <xdr:rowOff>0</xdr:rowOff>
    </xdr:from>
    <xdr:to>
      <xdr:col>25</xdr:col>
      <xdr:colOff>601133</xdr:colOff>
      <xdr:row>55</xdr:row>
      <xdr:rowOff>178647</xdr:rowOff>
    </xdr:to>
    <xdr:graphicFrame macro="">
      <xdr:nvGraphicFramePr>
        <xdr:cNvPr id="58" name="圖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22863</xdr:colOff>
      <xdr:row>1</xdr:row>
      <xdr:rowOff>121923</xdr:rowOff>
    </xdr:from>
    <xdr:to>
      <xdr:col>12</xdr:col>
      <xdr:colOff>336495</xdr:colOff>
      <xdr:row>26</xdr:row>
      <xdr:rowOff>20202</xdr:rowOff>
    </xdr:to>
    <xdr:pic>
      <xdr:nvPicPr>
        <xdr:cNvPr id="3" name="Picture 2"/>
        <xdr:cNvPicPr>
          <a:picLocks noChangeAspect="1"/>
        </xdr:cNvPicPr>
      </xdr:nvPicPr>
      <xdr:blipFill>
        <a:blip xmlns:r="http://schemas.openxmlformats.org/officeDocument/2006/relationships" r:embed="rId1"/>
        <a:stretch>
          <a:fillRect/>
        </a:stretch>
      </xdr:blipFill>
      <xdr:spPr>
        <a:xfrm>
          <a:off x="3055623" y="304803"/>
          <a:ext cx="5190432" cy="44702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243840</xdr:colOff>
      <xdr:row>35</xdr:row>
      <xdr:rowOff>0</xdr:rowOff>
    </xdr:from>
    <xdr:to>
      <xdr:col>13</xdr:col>
      <xdr:colOff>541020</xdr:colOff>
      <xdr:row>41</xdr:row>
      <xdr:rowOff>15240</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 y="13761720"/>
          <a:ext cx="7947660" cy="1203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xdr:row>
      <xdr:rowOff>175260</xdr:rowOff>
    </xdr:from>
    <xdr:to>
      <xdr:col>14</xdr:col>
      <xdr:colOff>15240</xdr:colOff>
      <xdr:row>21</xdr:row>
      <xdr:rowOff>251460</xdr:rowOff>
    </xdr:to>
    <xdr:pic>
      <xdr:nvPicPr>
        <xdr:cNvPr id="7"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2900" y="1325880"/>
          <a:ext cx="7947660" cy="3566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53</xdr:row>
      <xdr:rowOff>0</xdr:rowOff>
    </xdr:from>
    <xdr:to>
      <xdr:col>17</xdr:col>
      <xdr:colOff>427164</xdr:colOff>
      <xdr:row>75</xdr:row>
      <xdr:rowOff>84190</xdr:rowOff>
    </xdr:to>
    <xdr:pic>
      <xdr:nvPicPr>
        <xdr:cNvPr id="2" name="Picture 1"/>
        <xdr:cNvPicPr>
          <a:picLocks noChangeAspect="1"/>
        </xdr:cNvPicPr>
      </xdr:nvPicPr>
      <xdr:blipFill>
        <a:blip xmlns:r="http://schemas.openxmlformats.org/officeDocument/2006/relationships" r:embed="rId3"/>
        <a:stretch>
          <a:fillRect/>
        </a:stretch>
      </xdr:blipFill>
      <xdr:spPr>
        <a:xfrm>
          <a:off x="5036820" y="20551140"/>
          <a:ext cx="5128704" cy="4275190"/>
        </a:xfrm>
        <a:prstGeom prst="rect">
          <a:avLst/>
        </a:prstGeom>
      </xdr:spPr>
    </xdr:pic>
    <xdr:clientData/>
  </xdr:twoCellAnchor>
  <xdr:twoCellAnchor editAs="oneCell">
    <xdr:from>
      <xdr:col>1</xdr:col>
      <xdr:colOff>152400</xdr:colOff>
      <xdr:row>51</xdr:row>
      <xdr:rowOff>0</xdr:rowOff>
    </xdr:from>
    <xdr:to>
      <xdr:col>8</xdr:col>
      <xdr:colOff>487680</xdr:colOff>
      <xdr:row>82</xdr:row>
      <xdr:rowOff>68580</xdr:rowOff>
    </xdr:to>
    <xdr:pic>
      <xdr:nvPicPr>
        <xdr:cNvPr id="9" name="Picture 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0980" y="18219420"/>
          <a:ext cx="4632960" cy="5974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83</xdr:row>
      <xdr:rowOff>0</xdr:rowOff>
    </xdr:from>
    <xdr:to>
      <xdr:col>11</xdr:col>
      <xdr:colOff>184573</xdr:colOff>
      <xdr:row>110</xdr:row>
      <xdr:rowOff>98213</xdr:rowOff>
    </xdr:to>
    <xdr:graphicFrame macro="">
      <xdr:nvGraphicFramePr>
        <xdr:cNvPr id="10" name="圖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111</xdr:row>
      <xdr:rowOff>0</xdr:rowOff>
    </xdr:from>
    <xdr:to>
      <xdr:col>11</xdr:col>
      <xdr:colOff>184573</xdr:colOff>
      <xdr:row>138</xdr:row>
      <xdr:rowOff>98213</xdr:rowOff>
    </xdr:to>
    <xdr:graphicFrame macro="">
      <xdr:nvGraphicFramePr>
        <xdr:cNvPr id="11" name="圖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56</xdr:row>
      <xdr:rowOff>0</xdr:rowOff>
    </xdr:from>
    <xdr:to>
      <xdr:col>17</xdr:col>
      <xdr:colOff>427164</xdr:colOff>
      <xdr:row>78</xdr:row>
      <xdr:rowOff>84190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36820" y="20551140"/>
          <a:ext cx="5128704" cy="4275190"/>
        </a:xfrm>
        <a:prstGeom prst="rect">
          <a:avLst/>
        </a:prstGeom>
      </xdr:spPr>
    </xdr:pic>
    <xdr:clientData/>
  </xdr:twoCellAnchor>
  <xdr:twoCellAnchor editAs="oneCell">
    <xdr:from>
      <xdr:col>2</xdr:col>
      <xdr:colOff>4830</xdr:colOff>
      <xdr:row>7</xdr:row>
      <xdr:rowOff>7620</xdr:rowOff>
    </xdr:from>
    <xdr:to>
      <xdr:col>13</xdr:col>
      <xdr:colOff>491949</xdr:colOff>
      <xdr:row>22</xdr:row>
      <xdr:rowOff>15820</xdr:rowOff>
    </xdr:to>
    <xdr:pic>
      <xdr:nvPicPr>
        <xdr:cNvPr id="13" name="Picture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7730" y="1348740"/>
          <a:ext cx="7863279" cy="3536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266701</xdr:colOff>
      <xdr:row>35</xdr:row>
      <xdr:rowOff>0</xdr:rowOff>
    </xdr:from>
    <xdr:to>
      <xdr:col>13</xdr:col>
      <xdr:colOff>479500</xdr:colOff>
      <xdr:row>41</xdr:row>
      <xdr:rowOff>10140</xdr:rowOff>
    </xdr:to>
    <xdr:pic>
      <xdr:nvPicPr>
        <xdr:cNvPr id="14" name="Picture 1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5281" y="13601700"/>
          <a:ext cx="7863279" cy="1198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54</xdr:row>
      <xdr:rowOff>0</xdr:rowOff>
    </xdr:from>
    <xdr:to>
      <xdr:col>8</xdr:col>
      <xdr:colOff>609600</xdr:colOff>
      <xdr:row>85</xdr:row>
      <xdr:rowOff>68580</xdr:rowOff>
    </xdr:to>
    <xdr:pic>
      <xdr:nvPicPr>
        <xdr:cNvPr id="15"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42900" y="18630900"/>
          <a:ext cx="4632960" cy="5974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86</xdr:row>
      <xdr:rowOff>0</xdr:rowOff>
    </xdr:from>
    <xdr:to>
      <xdr:col>11</xdr:col>
      <xdr:colOff>476052</xdr:colOff>
      <xdr:row>113</xdr:row>
      <xdr:rowOff>105611</xdr:rowOff>
    </xdr:to>
    <xdr:pic>
      <xdr:nvPicPr>
        <xdr:cNvPr id="3" name="Picture 2"/>
        <xdr:cNvPicPr>
          <a:picLocks noChangeAspect="1"/>
        </xdr:cNvPicPr>
      </xdr:nvPicPr>
      <xdr:blipFill>
        <a:blip xmlns:r="http://schemas.openxmlformats.org/officeDocument/2006/relationships" r:embed="rId5"/>
        <a:stretch>
          <a:fillRect/>
        </a:stretch>
      </xdr:blipFill>
      <xdr:spPr>
        <a:xfrm>
          <a:off x="342900" y="24726900"/>
          <a:ext cx="6511092" cy="5249111"/>
        </a:xfrm>
        <a:prstGeom prst="rect">
          <a:avLst/>
        </a:prstGeom>
      </xdr:spPr>
    </xdr:pic>
    <xdr:clientData/>
  </xdr:twoCellAnchor>
  <xdr:twoCellAnchor editAs="oneCell">
    <xdr:from>
      <xdr:col>2</xdr:col>
      <xdr:colOff>0</xdr:colOff>
      <xdr:row>114</xdr:row>
      <xdr:rowOff>0</xdr:rowOff>
    </xdr:from>
    <xdr:to>
      <xdr:col>11</xdr:col>
      <xdr:colOff>469956</xdr:colOff>
      <xdr:row>141</xdr:row>
      <xdr:rowOff>111707</xdr:rowOff>
    </xdr:to>
    <xdr:pic>
      <xdr:nvPicPr>
        <xdr:cNvPr id="4" name="Picture 3"/>
        <xdr:cNvPicPr>
          <a:picLocks noChangeAspect="1"/>
        </xdr:cNvPicPr>
      </xdr:nvPicPr>
      <xdr:blipFill>
        <a:blip xmlns:r="http://schemas.openxmlformats.org/officeDocument/2006/relationships" r:embed="rId6"/>
        <a:stretch>
          <a:fillRect/>
        </a:stretch>
      </xdr:blipFill>
      <xdr:spPr>
        <a:xfrm>
          <a:off x="342900" y="30060900"/>
          <a:ext cx="6504996" cy="52552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rgbClr val="3333FF"/>
          </a:solidFill>
          <a:prstDash val="solid"/>
          <a:headEnd type="stealth" w="lg" len="med"/>
          <a:tailEnd type="stealth" w="lg"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82"/>
  <sheetViews>
    <sheetView showGridLines="0" tabSelected="1" workbookViewId="0">
      <selection activeCell="C11" sqref="C11"/>
    </sheetView>
  </sheetViews>
  <sheetFormatPr defaultRowHeight="15.6"/>
  <cols>
    <col min="1" max="1" width="32.19921875" style="90" customWidth="1"/>
    <col min="2" max="2" width="10.69921875" style="90" customWidth="1"/>
    <col min="3" max="3" width="9.69921875" style="90" customWidth="1"/>
    <col min="4" max="4" width="13" style="90" customWidth="1"/>
    <col min="5" max="5" width="38.59765625" style="90" customWidth="1"/>
    <col min="6" max="6" width="1.796875" style="90" customWidth="1"/>
    <col min="7" max="7" width="9.19921875" style="90" hidden="1" customWidth="1"/>
    <col min="8" max="11" width="6.8984375" style="90" hidden="1" customWidth="1"/>
    <col min="12" max="12" width="9.19921875" style="90" hidden="1" customWidth="1"/>
    <col min="13" max="18" width="6.8984375" style="90" hidden="1" customWidth="1"/>
    <col min="19" max="19" width="9.19921875" style="90" hidden="1" customWidth="1"/>
    <col min="20" max="21" width="6.8984375" style="90" hidden="1" customWidth="1"/>
    <col min="22" max="22" width="7.5" style="90" hidden="1" customWidth="1"/>
    <col min="23" max="24" width="7.5" style="90" customWidth="1"/>
    <col min="25" max="16384" width="8.796875" style="90"/>
  </cols>
  <sheetData>
    <row r="1" spans="1:8" ht="18" customHeight="1">
      <c r="E1" s="194" t="s">
        <v>420</v>
      </c>
    </row>
    <row r="2" spans="1:8" ht="18" customHeight="1">
      <c r="A2" s="193"/>
      <c r="E2" s="195">
        <v>44158</v>
      </c>
    </row>
    <row r="3" spans="1:8" ht="24.6" customHeight="1">
      <c r="A3" s="106" t="s">
        <v>365</v>
      </c>
      <c r="B3" s="181"/>
      <c r="C3" s="182"/>
      <c r="D3" s="183"/>
      <c r="E3" s="192"/>
      <c r="F3" s="181"/>
      <c r="G3" s="181"/>
    </row>
    <row r="4" spans="1:8" ht="21">
      <c r="A4" s="89" t="s">
        <v>70</v>
      </c>
      <c r="B4" s="89" t="s">
        <v>71</v>
      </c>
      <c r="C4" s="89" t="s">
        <v>132</v>
      </c>
      <c r="D4" s="89" t="s">
        <v>133</v>
      </c>
      <c r="E4" s="89" t="s">
        <v>134</v>
      </c>
    </row>
    <row r="5" spans="1:8" ht="18">
      <c r="A5" s="224" t="s">
        <v>211</v>
      </c>
      <c r="B5" s="225"/>
      <c r="C5" s="225"/>
      <c r="D5" s="225"/>
      <c r="E5" s="226"/>
    </row>
    <row r="6" spans="1:8" ht="15.6" customHeight="1">
      <c r="A6" s="91" t="s">
        <v>204</v>
      </c>
      <c r="B6" s="92" t="s">
        <v>206</v>
      </c>
      <c r="C6" s="79">
        <v>264</v>
      </c>
      <c r="D6" s="93" t="s">
        <v>135</v>
      </c>
      <c r="E6" s="135" t="s">
        <v>332</v>
      </c>
    </row>
    <row r="7" spans="1:8">
      <c r="A7" s="91" t="s">
        <v>205</v>
      </c>
      <c r="B7" s="92" t="s">
        <v>207</v>
      </c>
      <c r="C7" s="79">
        <v>90</v>
      </c>
      <c r="D7" s="93" t="s">
        <v>135</v>
      </c>
      <c r="E7" s="135" t="s">
        <v>333</v>
      </c>
    </row>
    <row r="8" spans="1:8">
      <c r="A8" s="91" t="s">
        <v>208</v>
      </c>
      <c r="B8" s="95" t="s">
        <v>75</v>
      </c>
      <c r="C8" s="79">
        <v>50</v>
      </c>
      <c r="D8" s="93" t="s">
        <v>136</v>
      </c>
      <c r="E8" s="135"/>
    </row>
    <row r="9" spans="1:8">
      <c r="A9" s="91" t="s">
        <v>200</v>
      </c>
      <c r="B9" s="92" t="s">
        <v>202</v>
      </c>
      <c r="C9" s="79">
        <v>20</v>
      </c>
      <c r="D9" s="93" t="s">
        <v>130</v>
      </c>
      <c r="E9" s="93" t="s">
        <v>331</v>
      </c>
    </row>
    <row r="10" spans="1:8">
      <c r="A10" s="91" t="s">
        <v>201</v>
      </c>
      <c r="B10" s="92" t="s">
        <v>203</v>
      </c>
      <c r="C10" s="79">
        <v>3.3</v>
      </c>
      <c r="D10" s="93" t="s">
        <v>130</v>
      </c>
      <c r="E10" s="93"/>
    </row>
    <row r="11" spans="1:8" ht="28.2">
      <c r="A11" s="91" t="s">
        <v>317</v>
      </c>
      <c r="B11" s="92" t="s">
        <v>138</v>
      </c>
      <c r="C11" s="79">
        <v>3.25</v>
      </c>
      <c r="D11" s="93" t="s">
        <v>139</v>
      </c>
      <c r="E11" s="93"/>
      <c r="H11" s="199"/>
    </row>
    <row r="12" spans="1:8">
      <c r="A12" s="91" t="s">
        <v>209</v>
      </c>
      <c r="B12" s="92" t="s">
        <v>154</v>
      </c>
      <c r="C12" s="79">
        <v>65</v>
      </c>
      <c r="D12" s="93" t="s">
        <v>130</v>
      </c>
      <c r="E12" s="184" t="s">
        <v>396</v>
      </c>
    </row>
    <row r="13" spans="1:8">
      <c r="A13" s="91" t="s">
        <v>155</v>
      </c>
      <c r="B13" s="95" t="s">
        <v>75</v>
      </c>
      <c r="C13" s="80">
        <v>15</v>
      </c>
      <c r="D13" s="93" t="s">
        <v>156</v>
      </c>
      <c r="E13" s="93"/>
    </row>
    <row r="14" spans="1:8" hidden="1">
      <c r="A14" s="91" t="s">
        <v>157</v>
      </c>
      <c r="B14" s="92" t="s">
        <v>220</v>
      </c>
      <c r="C14" s="85">
        <f>'Bulk Cap Calculator'!B10</f>
        <v>84</v>
      </c>
      <c r="D14" s="93" t="s">
        <v>158</v>
      </c>
      <c r="E14" s="135"/>
    </row>
    <row r="15" spans="1:8">
      <c r="A15" s="96" t="s">
        <v>157</v>
      </c>
      <c r="B15" s="97" t="s">
        <v>220</v>
      </c>
      <c r="C15" s="86">
        <f>C14/((100-C13)/100)</f>
        <v>98.82352941176471</v>
      </c>
      <c r="D15" s="98" t="s">
        <v>158</v>
      </c>
      <c r="E15" s="135"/>
    </row>
    <row r="16" spans="1:8" ht="28.8" hidden="1">
      <c r="A16" s="91" t="s">
        <v>418</v>
      </c>
      <c r="B16" s="95" t="s">
        <v>75</v>
      </c>
      <c r="C16" s="212">
        <v>320</v>
      </c>
      <c r="D16" s="93" t="s">
        <v>130</v>
      </c>
      <c r="E16" s="135"/>
    </row>
    <row r="17" spans="1:21" ht="28.2">
      <c r="A17" s="91" t="s">
        <v>435</v>
      </c>
      <c r="B17" s="92" t="s">
        <v>416</v>
      </c>
      <c r="C17" s="79">
        <v>55</v>
      </c>
      <c r="D17" s="93" t="s">
        <v>137</v>
      </c>
      <c r="E17" s="91" t="s">
        <v>421</v>
      </c>
    </row>
    <row r="18" spans="1:21">
      <c r="A18" s="91" t="s">
        <v>296</v>
      </c>
      <c r="B18" s="92" t="s">
        <v>141</v>
      </c>
      <c r="C18" s="79">
        <v>80</v>
      </c>
      <c r="D18" s="93" t="s">
        <v>130</v>
      </c>
      <c r="E18" s="93" t="s">
        <v>392</v>
      </c>
      <c r="G18" s="145" t="s">
        <v>342</v>
      </c>
      <c r="H18" s="145"/>
      <c r="I18" s="145"/>
      <c r="L18" s="145" t="s">
        <v>340</v>
      </c>
      <c r="M18" s="145"/>
      <c r="N18" s="145"/>
      <c r="S18" s="145" t="s">
        <v>334</v>
      </c>
      <c r="T18" s="145"/>
      <c r="U18" s="145"/>
    </row>
    <row r="19" spans="1:21">
      <c r="A19" s="91" t="s">
        <v>350</v>
      </c>
      <c r="B19" s="92" t="s">
        <v>335</v>
      </c>
      <c r="C19" s="85">
        <f>Vo_max*C11</f>
        <v>65</v>
      </c>
      <c r="D19" s="93" t="s">
        <v>174</v>
      </c>
      <c r="E19" s="93"/>
      <c r="G19" s="196" t="s">
        <v>410</v>
      </c>
      <c r="H19" s="196">
        <v>45</v>
      </c>
      <c r="I19" s="196">
        <v>65</v>
      </c>
      <c r="L19" s="146" t="s">
        <v>410</v>
      </c>
      <c r="M19" s="146">
        <v>45</v>
      </c>
      <c r="N19" s="146">
        <v>65</v>
      </c>
      <c r="S19" s="196" t="s">
        <v>410</v>
      </c>
      <c r="T19" s="196">
        <v>45</v>
      </c>
      <c r="U19" s="196">
        <v>65</v>
      </c>
    </row>
    <row r="20" spans="1:21" ht="28.8">
      <c r="A20" s="91" t="s">
        <v>394</v>
      </c>
      <c r="B20" s="92" t="s">
        <v>142</v>
      </c>
      <c r="C20" s="83">
        <f>C9*(C6*SQRT(2))/(C18-C9)</f>
        <v>124.45079348883237</v>
      </c>
      <c r="D20" s="93" t="s">
        <v>130</v>
      </c>
      <c r="E20" s="91" t="s">
        <v>393</v>
      </c>
      <c r="G20" s="196">
        <v>0</v>
      </c>
      <c r="H20" s="198">
        <v>0.82</v>
      </c>
      <c r="I20" s="198">
        <f>H20*0.87</f>
        <v>0.71339999999999992</v>
      </c>
      <c r="L20" s="146">
        <v>0</v>
      </c>
      <c r="M20" s="177">
        <v>0.96</v>
      </c>
      <c r="N20" s="177">
        <f>M20*0.7</f>
        <v>0.67199999999999993</v>
      </c>
      <c r="S20" s="196">
        <v>0</v>
      </c>
      <c r="T20" s="198">
        <v>2.44</v>
      </c>
      <c r="U20" s="198">
        <f>T20*0.7</f>
        <v>1.708</v>
      </c>
    </row>
    <row r="21" spans="1:21">
      <c r="A21" s="91" t="s">
        <v>143</v>
      </c>
      <c r="B21" s="92" t="s">
        <v>144</v>
      </c>
      <c r="C21" s="84">
        <f>(C6*SQRT(2))/(C18-C9)</f>
        <v>6.2225396744416184</v>
      </c>
      <c r="D21" s="93" t="s">
        <v>145</v>
      </c>
      <c r="E21" s="93"/>
      <c r="G21" s="197">
        <v>70</v>
      </c>
      <c r="H21" s="198">
        <v>0.82</v>
      </c>
      <c r="I21" s="198">
        <f>H21*0.87</f>
        <v>0.71339999999999992</v>
      </c>
      <c r="J21" s="199"/>
      <c r="K21" s="199"/>
      <c r="L21" s="147">
        <v>70</v>
      </c>
      <c r="M21" s="177">
        <v>0.96</v>
      </c>
      <c r="N21" s="177">
        <f>M21*0.7</f>
        <v>0.67199999999999993</v>
      </c>
      <c r="S21" s="197">
        <v>70</v>
      </c>
      <c r="T21" s="198">
        <v>2.44</v>
      </c>
      <c r="U21" s="198">
        <f>T21*0.7</f>
        <v>1.708</v>
      </c>
    </row>
    <row r="22" spans="1:21" ht="28.8" hidden="1">
      <c r="A22" s="91" t="s">
        <v>406</v>
      </c>
      <c r="B22" s="92" t="s">
        <v>352</v>
      </c>
      <c r="C22" s="180">
        <f>3333*(((((C16/C21)*2.65)/(C65*1000)))/(2.9))+0.8</f>
        <v>1.3800984827113547</v>
      </c>
      <c r="D22" s="93" t="s">
        <v>146</v>
      </c>
      <c r="E22" s="91" t="s">
        <v>147</v>
      </c>
      <c r="G22" s="197">
        <v>127</v>
      </c>
      <c r="H22" s="198">
        <v>0.48</v>
      </c>
      <c r="I22" s="198">
        <f t="shared" ref="I22:I25" si="0">H22*0.87</f>
        <v>0.41759999999999997</v>
      </c>
      <c r="L22" s="147">
        <v>127</v>
      </c>
      <c r="M22" s="177">
        <v>0.94</v>
      </c>
      <c r="N22" s="177">
        <f t="shared" ref="N22:N25" si="1">M22*0.7</f>
        <v>0.65799999999999992</v>
      </c>
      <c r="P22" s="108"/>
      <c r="S22" s="197">
        <v>127</v>
      </c>
      <c r="T22" s="198">
        <v>1.88</v>
      </c>
      <c r="U22" s="198">
        <f t="shared" ref="U22" si="2">T22*0.7</f>
        <v>1.3159999999999998</v>
      </c>
    </row>
    <row r="23" spans="1:21" ht="28.8" hidden="1">
      <c r="A23" s="91" t="s">
        <v>316</v>
      </c>
      <c r="B23" s="92" t="s">
        <v>351</v>
      </c>
      <c r="C23" s="180">
        <f>Ver130kHz!I9</f>
        <v>1.3781693347346096</v>
      </c>
      <c r="D23" s="93" t="s">
        <v>146</v>
      </c>
      <c r="E23" s="91" t="s">
        <v>364</v>
      </c>
      <c r="G23" s="197">
        <v>163</v>
      </c>
      <c r="H23" s="198">
        <v>0.4</v>
      </c>
      <c r="I23" s="198">
        <f t="shared" si="0"/>
        <v>0.34800000000000003</v>
      </c>
      <c r="L23" s="147">
        <v>163</v>
      </c>
      <c r="M23" s="177">
        <v>0.9</v>
      </c>
      <c r="N23" s="177">
        <f t="shared" si="1"/>
        <v>0.63</v>
      </c>
      <c r="P23" s="108"/>
      <c r="S23" s="197">
        <v>163</v>
      </c>
      <c r="T23" s="198">
        <v>1.6</v>
      </c>
      <c r="U23" s="198">
        <f t="shared" ref="U23:U25" si="3">T23*0.7</f>
        <v>1.1199999999999999</v>
      </c>
    </row>
    <row r="24" spans="1:21" hidden="1">
      <c r="A24" s="91" t="s">
        <v>148</v>
      </c>
      <c r="B24" s="92" t="s">
        <v>149</v>
      </c>
      <c r="C24" s="180">
        <v>0.48</v>
      </c>
      <c r="D24" s="93" t="s">
        <v>146</v>
      </c>
      <c r="E24" s="93"/>
      <c r="G24" s="197">
        <v>325</v>
      </c>
      <c r="H24" s="198">
        <v>0.32</v>
      </c>
      <c r="I24" s="198">
        <f t="shared" si="0"/>
        <v>0.27839999999999998</v>
      </c>
      <c r="L24" s="147">
        <v>325</v>
      </c>
      <c r="M24" s="177">
        <v>0.88</v>
      </c>
      <c r="N24" s="177">
        <f t="shared" si="1"/>
        <v>0.61599999999999999</v>
      </c>
      <c r="P24" s="108"/>
      <c r="S24" s="197">
        <v>325</v>
      </c>
      <c r="T24" s="198">
        <v>1.34</v>
      </c>
      <c r="U24" s="198">
        <f t="shared" si="3"/>
        <v>0.93799999999999994</v>
      </c>
    </row>
    <row r="25" spans="1:21" ht="28.8" hidden="1">
      <c r="A25" s="91" t="s">
        <v>407</v>
      </c>
      <c r="B25" s="92" t="s">
        <v>411</v>
      </c>
      <c r="C25" s="180">
        <f>LOOKUP(C16,G20:G25,H20:H25)+((C19-H19)*(LOOKUP(C16,G20:G25,I20:I25)-LOOKUP(C16,G20:G25,H20:H25))/(I19-H19))</f>
        <v>0.34800000000000003</v>
      </c>
      <c r="D25" s="93" t="s">
        <v>146</v>
      </c>
      <c r="E25" s="93"/>
      <c r="G25" s="197">
        <v>373</v>
      </c>
      <c r="H25" s="198">
        <v>0.3</v>
      </c>
      <c r="I25" s="198">
        <f t="shared" si="0"/>
        <v>0.26100000000000001</v>
      </c>
      <c r="L25" s="147">
        <v>373</v>
      </c>
      <c r="M25" s="177">
        <v>0.86</v>
      </c>
      <c r="N25" s="177">
        <f t="shared" si="1"/>
        <v>0.60199999999999998</v>
      </c>
      <c r="P25" s="108"/>
      <c r="S25" s="197">
        <v>373</v>
      </c>
      <c r="T25" s="198">
        <v>1.33</v>
      </c>
      <c r="U25" s="198">
        <f t="shared" si="3"/>
        <v>0.93099999999999994</v>
      </c>
    </row>
    <row r="26" spans="1:21" ht="28.8" hidden="1">
      <c r="A26" s="91" t="s">
        <v>408</v>
      </c>
      <c r="B26" s="92" t="s">
        <v>412</v>
      </c>
      <c r="C26" s="180">
        <f>LOOKUP(C16,L20:L25,M20:M25)+((C19-M19)*(LOOKUP(C16,L20:L25,N20:N25)-LOOKUP(C16,L20:L25,M20:M25))/(N19-M19))</f>
        <v>0.63</v>
      </c>
      <c r="D26" s="93" t="s">
        <v>146</v>
      </c>
      <c r="E26" s="93"/>
      <c r="G26" s="213" t="s">
        <v>341</v>
      </c>
      <c r="H26" s="214"/>
      <c r="I26" s="214"/>
      <c r="L26" s="213" t="s">
        <v>343</v>
      </c>
      <c r="M26" s="214"/>
      <c r="N26" s="214"/>
      <c r="P26" s="108"/>
      <c r="S26" s="213" t="s">
        <v>344</v>
      </c>
      <c r="T26" s="214"/>
      <c r="U26" s="214"/>
    </row>
    <row r="27" spans="1:21" ht="28.8" hidden="1">
      <c r="A27" s="91" t="s">
        <v>409</v>
      </c>
      <c r="B27" s="92" t="s">
        <v>413</v>
      </c>
      <c r="C27" s="180">
        <f>LOOKUP(C16,S20:S25,T20:T25)+((C19-T19)*(LOOKUP(C16,S20:S25,U20:U25)-LOOKUP(C16,S20:S25,T20:T25))/(U19-T19))</f>
        <v>1.1199999999999999</v>
      </c>
      <c r="D27" s="93" t="s">
        <v>146</v>
      </c>
      <c r="E27" s="93"/>
      <c r="P27" s="108"/>
    </row>
    <row r="28" spans="1:21" ht="28.8" hidden="1">
      <c r="A28" s="91" t="s">
        <v>348</v>
      </c>
      <c r="B28" s="92" t="s">
        <v>345</v>
      </c>
      <c r="C28" s="180">
        <f>LOOKUP(C12,G20:G25,H20:H25)+((C19-H19)*(LOOKUP(C12,G20:G25,I20:I25)-LOOKUP(C12,G20:G25,H20:H25))/(I19-H19))</f>
        <v>0.71339999999999992</v>
      </c>
      <c r="D28" s="93" t="s">
        <v>146</v>
      </c>
      <c r="E28" s="93"/>
      <c r="P28" s="108"/>
    </row>
    <row r="29" spans="1:21" ht="28.8" hidden="1">
      <c r="A29" s="91" t="s">
        <v>349</v>
      </c>
      <c r="B29" s="92" t="s">
        <v>346</v>
      </c>
      <c r="C29" s="180">
        <f>LOOKUP(C12,L20:L25,M20:M25)+((C19-M19)*(LOOKUP(C12,L20:L25,N20:N25)-LOOKUP(C12,L20:L25,M20:M25))/(N19-M19))</f>
        <v>0.67199999999999993</v>
      </c>
      <c r="D29" s="93" t="s">
        <v>146</v>
      </c>
      <c r="E29" s="93"/>
      <c r="P29" s="108"/>
    </row>
    <row r="30" spans="1:21" ht="28.8" hidden="1">
      <c r="A30" s="91" t="s">
        <v>422</v>
      </c>
      <c r="B30" s="92" t="s">
        <v>347</v>
      </c>
      <c r="C30" s="180">
        <f>LOOKUP(C12,S20:S25,T20:T25)+((C19-T19)*(LOOKUP(C12,S20:S25,U20:U25)-LOOKUP(C12,S20:S25,T20:T25))/(U19-T19))</f>
        <v>1.708</v>
      </c>
      <c r="D30" s="93" t="s">
        <v>146</v>
      </c>
      <c r="E30" s="93"/>
      <c r="P30" s="108"/>
    </row>
    <row r="31" spans="1:21" ht="28.8">
      <c r="A31" s="91" t="s">
        <v>428</v>
      </c>
      <c r="B31" s="92" t="s">
        <v>427</v>
      </c>
      <c r="C31" s="84">
        <f>(1/(C17*1000))*1000000</f>
        <v>18.181818181818183</v>
      </c>
      <c r="D31" s="93" t="s">
        <v>146</v>
      </c>
      <c r="E31" s="91" t="s">
        <v>433</v>
      </c>
      <c r="L31" s="199"/>
    </row>
    <row r="32" spans="1:21" ht="28.8">
      <c r="A32" s="91" t="s">
        <v>429</v>
      </c>
      <c r="B32" s="92" t="s">
        <v>414</v>
      </c>
      <c r="C32" s="84">
        <f>(C31-0.5)*(C20/(C12+C20))</f>
        <v>11.615239305831944</v>
      </c>
      <c r="D32" s="93" t="s">
        <v>146</v>
      </c>
      <c r="E32" s="91" t="s">
        <v>433</v>
      </c>
      <c r="L32" s="199"/>
    </row>
    <row r="33" spans="1:12" ht="28.8">
      <c r="A33" s="91" t="s">
        <v>430</v>
      </c>
      <c r="B33" s="92" t="s">
        <v>415</v>
      </c>
      <c r="C33" s="84">
        <f>(C31-0.5)*(C12/(C12+C20))</f>
        <v>6.0665788759862398</v>
      </c>
      <c r="D33" s="93" t="s">
        <v>146</v>
      </c>
      <c r="E33" s="91" t="s">
        <v>433</v>
      </c>
    </row>
    <row r="34" spans="1:12" ht="28.8">
      <c r="A34" s="91" t="s">
        <v>431</v>
      </c>
      <c r="B34" s="92" t="s">
        <v>150</v>
      </c>
      <c r="C34" s="84">
        <f>2*C11/((C17*1000)*(C33*0.000001))</f>
        <v>19.480801387026464</v>
      </c>
      <c r="D34" s="93" t="s">
        <v>139</v>
      </c>
      <c r="E34" s="91" t="s">
        <v>433</v>
      </c>
    </row>
    <row r="35" spans="1:12" ht="28.8">
      <c r="A35" s="91" t="s">
        <v>432</v>
      </c>
      <c r="B35" s="92" t="s">
        <v>151</v>
      </c>
      <c r="C35" s="84">
        <f>C34/C21</f>
        <v>3.1306833553897073</v>
      </c>
      <c r="D35" s="93" t="s">
        <v>139</v>
      </c>
      <c r="E35" s="91" t="s">
        <v>433</v>
      </c>
    </row>
    <row r="36" spans="1:12">
      <c r="A36" s="91" t="s">
        <v>152</v>
      </c>
      <c r="B36" s="92" t="s">
        <v>72</v>
      </c>
      <c r="C36" s="83">
        <f>ROUND(((C12/C35)*C32)/5,0)*5</f>
        <v>240</v>
      </c>
      <c r="D36" s="93" t="s">
        <v>153</v>
      </c>
      <c r="E36" s="93"/>
    </row>
    <row r="37" spans="1:12" ht="27.6" hidden="1">
      <c r="A37" s="99" t="s">
        <v>213</v>
      </c>
      <c r="B37" s="92" t="s">
        <v>321</v>
      </c>
      <c r="C37" s="84">
        <f>C20/(C12+C20)</f>
        <v>0.65690299416016129</v>
      </c>
      <c r="D37" s="93" t="s">
        <v>145</v>
      </c>
      <c r="E37" s="94"/>
      <c r="G37" s="214"/>
      <c r="H37" s="214"/>
      <c r="I37" s="214"/>
      <c r="J37" s="108"/>
      <c r="K37" s="108"/>
      <c r="L37" s="108"/>
    </row>
    <row r="38" spans="1:12" ht="27.6" hidden="1">
      <c r="A38" s="99" t="s">
        <v>214</v>
      </c>
      <c r="B38" s="92" t="s">
        <v>159</v>
      </c>
      <c r="C38" s="84">
        <f>C23+C24+C28+C29+C30</f>
        <v>4.9515693347346099</v>
      </c>
      <c r="D38" s="93" t="s">
        <v>146</v>
      </c>
      <c r="E38" s="94"/>
      <c r="J38" s="108"/>
      <c r="K38" s="108"/>
      <c r="L38" s="108"/>
    </row>
    <row r="39" spans="1:12" ht="27.6" hidden="1">
      <c r="A39" s="99" t="s">
        <v>215</v>
      </c>
      <c r="B39" s="92" t="s">
        <v>160</v>
      </c>
      <c r="C39" s="84">
        <f>(-1*-1*2*C11+SQRT(((2*C11)^2)-(4*(1-C37)*(-1)*((C12/(C36*0.000001))*2*C11*(C38*0.000001)*C37*C21))))/(2*(1-C37))</f>
        <v>23.385839860392149</v>
      </c>
      <c r="D39" s="93" t="s">
        <v>139</v>
      </c>
      <c r="E39" s="100"/>
      <c r="J39" s="108"/>
      <c r="K39" s="108"/>
      <c r="L39" s="108"/>
    </row>
    <row r="40" spans="1:12" ht="27.6" hidden="1">
      <c r="A40" s="99" t="s">
        <v>216</v>
      </c>
      <c r="B40" s="92" t="s">
        <v>161</v>
      </c>
      <c r="C40" s="84">
        <f>C39/C21</f>
        <v>3.7582468065968073</v>
      </c>
      <c r="D40" s="93" t="s">
        <v>139</v>
      </c>
      <c r="E40" s="100"/>
      <c r="J40" s="108"/>
      <c r="K40" s="108"/>
    </row>
    <row r="41" spans="1:12" ht="27.6" hidden="1">
      <c r="A41" s="99" t="s">
        <v>217</v>
      </c>
      <c r="B41" s="92" t="s">
        <v>322</v>
      </c>
      <c r="C41" s="84">
        <f>(C40/C12)*C36</f>
        <v>13.876603593588211</v>
      </c>
      <c r="D41" s="93" t="s">
        <v>146</v>
      </c>
      <c r="E41" s="94"/>
      <c r="J41" s="108"/>
      <c r="K41" s="108"/>
      <c r="L41" s="108"/>
    </row>
    <row r="42" spans="1:12" ht="27.6" hidden="1">
      <c r="A42" s="99" t="s">
        <v>218</v>
      </c>
      <c r="B42" s="92" t="s">
        <v>323</v>
      </c>
      <c r="C42" s="84">
        <f>(C40/C20)*C36</f>
        <v>7.2476776426835166</v>
      </c>
      <c r="D42" s="93" t="s">
        <v>146</v>
      </c>
      <c r="E42" s="94"/>
      <c r="J42" s="108"/>
      <c r="K42" s="108"/>
      <c r="L42" s="108"/>
    </row>
    <row r="43" spans="1:12" ht="27.6" hidden="1">
      <c r="A43" s="99" t="s">
        <v>219</v>
      </c>
      <c r="B43" s="92" t="s">
        <v>324</v>
      </c>
      <c r="C43" s="84">
        <f>C41+C42</f>
        <v>21.124281236271727</v>
      </c>
      <c r="D43" s="93" t="s">
        <v>146</v>
      </c>
      <c r="E43" s="94"/>
      <c r="G43" s="214"/>
      <c r="H43" s="214"/>
      <c r="I43" s="214"/>
      <c r="J43" s="108"/>
      <c r="K43" s="108"/>
      <c r="L43" s="108"/>
    </row>
    <row r="44" spans="1:12">
      <c r="A44" s="221"/>
      <c r="B44" s="222"/>
      <c r="C44" s="222"/>
      <c r="D44" s="222"/>
      <c r="E44" s="223"/>
    </row>
    <row r="45" spans="1:12" ht="18">
      <c r="A45" s="218" t="s">
        <v>197</v>
      </c>
      <c r="B45" s="219"/>
      <c r="C45" s="219"/>
      <c r="D45" s="219"/>
      <c r="E45" s="220"/>
    </row>
    <row r="46" spans="1:12">
      <c r="A46" s="98" t="s">
        <v>198</v>
      </c>
      <c r="B46" s="101" t="s">
        <v>75</v>
      </c>
      <c r="C46" s="87">
        <v>1</v>
      </c>
      <c r="D46" s="98" t="s">
        <v>191</v>
      </c>
      <c r="E46" s="135"/>
    </row>
    <row r="47" spans="1:12">
      <c r="A47" s="98" t="s">
        <v>199</v>
      </c>
      <c r="B47" s="101" t="s">
        <v>75</v>
      </c>
      <c r="C47" s="87">
        <v>100</v>
      </c>
      <c r="D47" s="98" t="s">
        <v>210</v>
      </c>
      <c r="E47" s="135"/>
    </row>
    <row r="48" spans="1:12">
      <c r="A48" s="96" t="s">
        <v>162</v>
      </c>
      <c r="B48" s="97" t="s">
        <v>163</v>
      </c>
      <c r="C48" s="82">
        <f>((0.55/C35)*0.97)</f>
        <v>0.17041007966568691</v>
      </c>
      <c r="D48" s="98" t="s">
        <v>285</v>
      </c>
      <c r="E48" s="135"/>
    </row>
    <row r="49" spans="1:21">
      <c r="A49" s="215"/>
      <c r="B49" s="216"/>
      <c r="C49" s="216"/>
      <c r="D49" s="216"/>
      <c r="E49" s="217"/>
    </row>
    <row r="50" spans="1:21" ht="18">
      <c r="A50" s="218" t="s">
        <v>164</v>
      </c>
      <c r="B50" s="219"/>
      <c r="C50" s="219"/>
      <c r="D50" s="219"/>
      <c r="E50" s="220"/>
    </row>
    <row r="51" spans="1:21" ht="16.2">
      <c r="A51" s="91" t="s">
        <v>165</v>
      </c>
      <c r="B51" s="92" t="s">
        <v>129</v>
      </c>
      <c r="C51" s="79">
        <v>100</v>
      </c>
      <c r="D51" s="93" t="s">
        <v>330</v>
      </c>
      <c r="E51" s="135"/>
    </row>
    <row r="52" spans="1:21">
      <c r="A52" s="91" t="s">
        <v>166</v>
      </c>
      <c r="B52" s="92" t="s">
        <v>128</v>
      </c>
      <c r="C52" s="79">
        <v>290</v>
      </c>
      <c r="D52" s="93" t="s">
        <v>167</v>
      </c>
      <c r="E52" s="135"/>
    </row>
    <row r="53" spans="1:21">
      <c r="A53" s="91" t="s">
        <v>168</v>
      </c>
      <c r="B53" s="92" t="s">
        <v>127</v>
      </c>
      <c r="C53" s="84">
        <f>(C36*C35)/(C52*0.001*C51)</f>
        <v>25.909103630811373</v>
      </c>
      <c r="D53" s="93" t="s">
        <v>169</v>
      </c>
      <c r="E53" s="135"/>
    </row>
    <row r="54" spans="1:21">
      <c r="A54" s="96" t="s">
        <v>170</v>
      </c>
      <c r="B54" s="97" t="s">
        <v>127</v>
      </c>
      <c r="C54" s="81">
        <v>26</v>
      </c>
      <c r="D54" s="98" t="s">
        <v>169</v>
      </c>
      <c r="E54" s="135"/>
    </row>
    <row r="55" spans="1:21">
      <c r="A55" s="91" t="s">
        <v>171</v>
      </c>
      <c r="B55" s="92" t="s">
        <v>172</v>
      </c>
      <c r="C55" s="137">
        <f>C54/(C20/C9)</f>
        <v>4.1783582524659622</v>
      </c>
      <c r="D55" s="93" t="s">
        <v>169</v>
      </c>
      <c r="E55" s="135"/>
    </row>
    <row r="56" spans="1:21">
      <c r="A56" s="96" t="s">
        <v>401</v>
      </c>
      <c r="B56" s="97" t="s">
        <v>172</v>
      </c>
      <c r="C56" s="81">
        <v>4</v>
      </c>
      <c r="D56" s="98" t="s">
        <v>169</v>
      </c>
      <c r="E56" s="135"/>
    </row>
    <row r="57" spans="1:21">
      <c r="A57" s="98" t="s">
        <v>318</v>
      </c>
      <c r="B57" s="102" t="s">
        <v>325</v>
      </c>
      <c r="C57" s="83">
        <f>ROUND(NS*2.65,0)</f>
        <v>11</v>
      </c>
      <c r="D57" s="93" t="s">
        <v>169</v>
      </c>
      <c r="E57" s="135"/>
    </row>
    <row r="58" spans="1:21">
      <c r="A58" s="93" t="s">
        <v>319</v>
      </c>
      <c r="B58" s="103" t="s">
        <v>326</v>
      </c>
      <c r="C58" s="83">
        <f>C56</f>
        <v>4</v>
      </c>
      <c r="D58" s="93" t="s">
        <v>169</v>
      </c>
      <c r="E58" s="135"/>
    </row>
    <row r="59" spans="1:21">
      <c r="A59" s="93" t="s">
        <v>320</v>
      </c>
      <c r="B59" s="103" t="s">
        <v>327</v>
      </c>
      <c r="C59" s="83">
        <f>C57-C58</f>
        <v>7</v>
      </c>
      <c r="D59" s="93" t="s">
        <v>169</v>
      </c>
      <c r="E59" s="135"/>
    </row>
    <row r="60" spans="1:21">
      <c r="A60" s="96" t="s">
        <v>152</v>
      </c>
      <c r="B60" s="97" t="s">
        <v>72</v>
      </c>
      <c r="C60" s="87">
        <f>C36</f>
        <v>240</v>
      </c>
      <c r="D60" s="98" t="s">
        <v>153</v>
      </c>
      <c r="E60" s="135"/>
    </row>
    <row r="61" spans="1:21">
      <c r="A61" s="91" t="s">
        <v>188</v>
      </c>
      <c r="B61" s="92" t="s">
        <v>142</v>
      </c>
      <c r="C61" s="83">
        <f>Vo_max*(NP/NS)</f>
        <v>130</v>
      </c>
      <c r="D61" s="93" t="s">
        <v>130</v>
      </c>
      <c r="E61" s="135" t="s">
        <v>187</v>
      </c>
    </row>
    <row r="62" spans="1:21">
      <c r="A62" s="91" t="s">
        <v>185</v>
      </c>
      <c r="B62" s="92" t="s">
        <v>74</v>
      </c>
      <c r="C62" s="84">
        <f>NP/NS</f>
        <v>6.5</v>
      </c>
      <c r="D62" s="93" t="s">
        <v>186</v>
      </c>
      <c r="E62" s="135"/>
    </row>
    <row r="63" spans="1:21" s="106" customFormat="1">
      <c r="A63" s="227"/>
      <c r="B63" s="228"/>
      <c r="C63" s="228"/>
      <c r="D63" s="228"/>
      <c r="E63" s="229"/>
      <c r="G63" s="90"/>
      <c r="H63" s="90"/>
      <c r="I63" s="90"/>
      <c r="J63" s="90"/>
      <c r="K63" s="90"/>
      <c r="L63" s="90"/>
      <c r="M63" s="90"/>
      <c r="N63" s="90"/>
      <c r="O63" s="90"/>
      <c r="P63" s="90"/>
      <c r="Q63" s="90"/>
      <c r="R63" s="90"/>
      <c r="S63" s="90"/>
      <c r="T63" s="90"/>
      <c r="U63" s="90"/>
    </row>
    <row r="64" spans="1:21" ht="18">
      <c r="A64" s="218" t="s">
        <v>196</v>
      </c>
      <c r="B64" s="219"/>
      <c r="C64" s="219"/>
      <c r="D64" s="219"/>
      <c r="E64" s="220"/>
      <c r="U64" s="106"/>
    </row>
    <row r="65" spans="1:21" s="106" customFormat="1">
      <c r="A65" s="96" t="s">
        <v>78</v>
      </c>
      <c r="B65" s="97" t="s">
        <v>189</v>
      </c>
      <c r="C65" s="87">
        <v>270</v>
      </c>
      <c r="D65" s="98" t="s">
        <v>191</v>
      </c>
      <c r="E65" s="135"/>
      <c r="G65" s="90"/>
      <c r="H65" s="90"/>
      <c r="I65" s="90"/>
      <c r="J65" s="90"/>
      <c r="K65" s="90"/>
      <c r="L65" s="90"/>
      <c r="M65" s="90"/>
      <c r="N65" s="90"/>
      <c r="O65" s="90"/>
      <c r="P65" s="90"/>
      <c r="Q65" s="90"/>
      <c r="R65" s="90"/>
      <c r="S65" s="90"/>
      <c r="T65" s="90"/>
      <c r="U65" s="90"/>
    </row>
    <row r="66" spans="1:21" s="106" customFormat="1">
      <c r="A66" s="104" t="s">
        <v>192</v>
      </c>
      <c r="B66" s="105" t="s">
        <v>194</v>
      </c>
      <c r="C66" s="84">
        <f>Vo_max*1.1</f>
        <v>22</v>
      </c>
      <c r="D66" s="93" t="s">
        <v>130</v>
      </c>
      <c r="E66" s="135"/>
      <c r="G66" s="90"/>
      <c r="H66" s="90"/>
      <c r="I66" s="90"/>
      <c r="J66" s="90"/>
      <c r="K66" s="90"/>
      <c r="L66" s="90"/>
      <c r="M66" s="90"/>
      <c r="N66" s="90"/>
      <c r="O66" s="90"/>
      <c r="P66" s="90"/>
      <c r="Q66" s="90"/>
      <c r="R66" s="90"/>
      <c r="S66" s="90"/>
      <c r="T66" s="90"/>
    </row>
    <row r="67" spans="1:21" s="106" customFormat="1">
      <c r="A67" s="96" t="s">
        <v>79</v>
      </c>
      <c r="B67" s="97" t="s">
        <v>190</v>
      </c>
      <c r="C67" s="86">
        <f>(C65*3.2)/(C66*Naux/NS-3.2)</f>
        <v>15.078534031413612</v>
      </c>
      <c r="D67" s="98" t="s">
        <v>191</v>
      </c>
      <c r="E67" s="135"/>
    </row>
    <row r="68" spans="1:21">
      <c r="A68" s="104" t="s">
        <v>193</v>
      </c>
      <c r="B68" s="105" t="s">
        <v>195</v>
      </c>
      <c r="C68" s="84">
        <f>0.4*(NS/Naux)*(1+C65/C67)</f>
        <v>2.7500000000000004</v>
      </c>
      <c r="D68" s="93" t="s">
        <v>130</v>
      </c>
      <c r="E68" s="135"/>
      <c r="U68" s="106"/>
    </row>
    <row r="69" spans="1:21">
      <c r="A69" s="104" t="s">
        <v>306</v>
      </c>
      <c r="B69" s="105" t="s">
        <v>328</v>
      </c>
      <c r="C69" s="84">
        <v>15</v>
      </c>
      <c r="D69" s="93" t="s">
        <v>130</v>
      </c>
      <c r="E69" s="135"/>
      <c r="G69" s="106"/>
      <c r="H69" s="106"/>
      <c r="I69" s="106"/>
      <c r="J69" s="106"/>
      <c r="K69" s="106"/>
      <c r="L69" s="106"/>
      <c r="M69" s="106"/>
      <c r="N69" s="106"/>
      <c r="O69" s="106"/>
      <c r="P69" s="106"/>
      <c r="Q69" s="106"/>
      <c r="R69" s="106"/>
      <c r="S69" s="106"/>
      <c r="T69" s="106"/>
    </row>
    <row r="70" spans="1:21">
      <c r="A70" s="104" t="s">
        <v>307</v>
      </c>
      <c r="B70" s="105" t="s">
        <v>329</v>
      </c>
      <c r="C70" s="84">
        <f>Vo_min*(Naux/NS)</f>
        <v>9.0749999999999993</v>
      </c>
      <c r="D70" s="93" t="s">
        <v>130</v>
      </c>
      <c r="E70" s="135"/>
      <c r="G70" s="106"/>
      <c r="H70" s="106"/>
      <c r="I70" s="106"/>
      <c r="J70" s="106"/>
      <c r="K70" s="106"/>
      <c r="L70" s="106"/>
      <c r="M70" s="106"/>
      <c r="N70" s="106"/>
      <c r="O70" s="106"/>
      <c r="P70" s="106"/>
      <c r="Q70" s="106"/>
      <c r="R70" s="106"/>
      <c r="S70" s="106"/>
      <c r="T70" s="106"/>
    </row>
    <row r="71" spans="1:21">
      <c r="A71" s="230"/>
      <c r="B71" s="231"/>
      <c r="C71" s="231"/>
      <c r="D71" s="231"/>
      <c r="E71" s="232"/>
      <c r="G71" s="106"/>
      <c r="H71" s="106"/>
      <c r="I71" s="106"/>
      <c r="J71" s="106"/>
      <c r="K71" s="106"/>
      <c r="L71" s="106"/>
      <c r="M71" s="106"/>
      <c r="N71" s="106"/>
      <c r="O71" s="106"/>
      <c r="P71" s="106"/>
      <c r="Q71" s="106"/>
      <c r="R71" s="106"/>
      <c r="S71" s="106"/>
      <c r="T71" s="106"/>
    </row>
    <row r="72" spans="1:21" ht="18">
      <c r="A72" s="218" t="s">
        <v>301</v>
      </c>
      <c r="B72" s="219"/>
      <c r="C72" s="219"/>
      <c r="D72" s="219"/>
      <c r="E72" s="220"/>
    </row>
    <row r="73" spans="1:21">
      <c r="A73" s="93" t="s">
        <v>140</v>
      </c>
      <c r="B73" s="103" t="s">
        <v>141</v>
      </c>
      <c r="C73" s="88">
        <f>C6*SQRT(2)*(NS/NP)+C9</f>
        <v>77.438827764076478</v>
      </c>
      <c r="D73" s="93" t="s">
        <v>130</v>
      </c>
      <c r="E73" s="135"/>
    </row>
    <row r="74" spans="1:21">
      <c r="A74" s="98" t="s">
        <v>298</v>
      </c>
      <c r="B74" s="101" t="s">
        <v>75</v>
      </c>
      <c r="C74" s="136">
        <v>10</v>
      </c>
      <c r="D74" s="98" t="s">
        <v>285</v>
      </c>
      <c r="E74" s="135"/>
    </row>
    <row r="75" spans="1:21">
      <c r="A75" s="98" t="s">
        <v>299</v>
      </c>
      <c r="B75" s="101" t="s">
        <v>75</v>
      </c>
      <c r="C75" s="136">
        <v>1000</v>
      </c>
      <c r="D75" s="98" t="s">
        <v>210</v>
      </c>
      <c r="E75" s="135"/>
    </row>
    <row r="76" spans="1:21">
      <c r="A76" s="230"/>
      <c r="B76" s="231"/>
      <c r="C76" s="231"/>
      <c r="D76" s="231"/>
      <c r="E76" s="232"/>
    </row>
    <row r="77" spans="1:21" ht="18">
      <c r="A77" s="218" t="s">
        <v>302</v>
      </c>
      <c r="B77" s="219"/>
      <c r="C77" s="219"/>
      <c r="D77" s="219"/>
      <c r="E77" s="220"/>
    </row>
    <row r="78" spans="1:21">
      <c r="A78" s="93" t="s">
        <v>300</v>
      </c>
      <c r="B78" s="103" t="s">
        <v>304</v>
      </c>
      <c r="C78" s="88">
        <f>C6*SQRT(2)+VOR+30</f>
        <v>533.35238046649715</v>
      </c>
      <c r="D78" s="93" t="s">
        <v>130</v>
      </c>
      <c r="E78" s="135"/>
    </row>
    <row r="79" spans="1:21">
      <c r="A79" s="230"/>
      <c r="B79" s="231"/>
      <c r="C79" s="231"/>
      <c r="D79" s="231"/>
      <c r="E79" s="232"/>
    </row>
    <row r="80" spans="1:21" ht="18">
      <c r="A80" s="218" t="s">
        <v>303</v>
      </c>
      <c r="B80" s="219"/>
      <c r="C80" s="219"/>
      <c r="D80" s="219"/>
      <c r="E80" s="220"/>
    </row>
    <row r="81" spans="1:5">
      <c r="A81" s="93" t="s">
        <v>308</v>
      </c>
      <c r="B81" s="103" t="s">
        <v>305</v>
      </c>
      <c r="C81" s="88">
        <f>C6*SQRT(2)+VOR-C69</f>
        <v>488.3523804664971</v>
      </c>
      <c r="D81" s="93" t="s">
        <v>130</v>
      </c>
      <c r="E81" s="135"/>
    </row>
    <row r="82" spans="1:5">
      <c r="A82" s="106"/>
      <c r="B82" s="106"/>
      <c r="C82" s="106"/>
      <c r="D82" s="107"/>
      <c r="E82" s="106"/>
    </row>
  </sheetData>
  <sheetProtection password="96F6" sheet="1" objects="1" scenarios="1" selectLockedCells="1"/>
  <protectedRanges>
    <protectedRange password="CBAA" sqref="C54 C56 C51:C52 C6:C13 C16:C19" name="UserInput"/>
  </protectedRanges>
  <dataConsolidate/>
  <mergeCells count="13">
    <mergeCell ref="A80:E80"/>
    <mergeCell ref="A77:E77"/>
    <mergeCell ref="A72:E72"/>
    <mergeCell ref="A64:E64"/>
    <mergeCell ref="A63:E63"/>
    <mergeCell ref="A76:E76"/>
    <mergeCell ref="A79:E79"/>
    <mergeCell ref="A71:E71"/>
    <mergeCell ref="A49:E49"/>
    <mergeCell ref="A50:E50"/>
    <mergeCell ref="A45:E45"/>
    <mergeCell ref="A44:E44"/>
    <mergeCell ref="A5:E5"/>
  </mergeCells>
  <phoneticPr fontId="1" type="noConversion"/>
  <conditionalFormatting sqref="C6">
    <cfRule type="cellIs" dxfId="15" priority="22" operator="notBetween">
      <formula>$C$7</formula>
      <formula>300</formula>
    </cfRule>
  </conditionalFormatting>
  <conditionalFormatting sqref="C7">
    <cfRule type="cellIs" dxfId="14" priority="21" operator="notBetween">
      <formula>80</formula>
      <formula>$C$6</formula>
    </cfRule>
  </conditionalFormatting>
  <conditionalFormatting sqref="C17">
    <cfRule type="cellIs" dxfId="13" priority="19" operator="notBetween">
      <formula>40</formula>
      <formula>110</formula>
    </cfRule>
  </conditionalFormatting>
  <conditionalFormatting sqref="C9">
    <cfRule type="cellIs" dxfId="12" priority="18" operator="notBetween">
      <formula>$C$10</formula>
      <formula>48</formula>
    </cfRule>
  </conditionalFormatting>
  <conditionalFormatting sqref="C10">
    <cfRule type="cellIs" dxfId="11" priority="17" operator="greaterThanOrEqual">
      <formula>$C$9</formula>
    </cfRule>
  </conditionalFormatting>
  <conditionalFormatting sqref="C11">
    <cfRule type="cellIs" dxfId="10" priority="16" operator="notBetween">
      <formula>1</formula>
      <formula>6</formula>
    </cfRule>
  </conditionalFormatting>
  <conditionalFormatting sqref="C12">
    <cfRule type="cellIs" dxfId="9" priority="1" operator="greaterThan">
      <formula>$C$16</formula>
    </cfRule>
    <cfRule type="expression" dxfId="8" priority="14">
      <formula>$C$12 &gt;= SQRT(2)*$C$7-10</formula>
    </cfRule>
    <cfRule type="cellIs" dxfId="7" priority="15" operator="lessThan">
      <formula>55</formula>
    </cfRule>
  </conditionalFormatting>
  <conditionalFormatting sqref="C51">
    <cfRule type="cellIs" dxfId="6" priority="12" operator="notBetween">
      <formula>$C$9*$C$11*0.7</formula>
      <formula>$C$9*$C$11*4</formula>
    </cfRule>
  </conditionalFormatting>
  <conditionalFormatting sqref="C52">
    <cfRule type="cellIs" dxfId="5" priority="11" operator="notBetween">
      <formula>250</formula>
      <formula>330</formula>
    </cfRule>
  </conditionalFormatting>
  <conditionalFormatting sqref="C54">
    <cfRule type="expression" dxfId="4" priority="4">
      <formula>MOD($C$54,1)&lt;&gt;0</formula>
    </cfRule>
    <cfRule type="cellIs" dxfId="3" priority="7" operator="notBetween">
      <formula>($C$53*0.7)</formula>
      <formula>($C$53*1.5)</formula>
    </cfRule>
  </conditionalFormatting>
  <conditionalFormatting sqref="C56">
    <cfRule type="expression" dxfId="2" priority="3">
      <formula>MOD($C$56,1)&lt;&gt;0</formula>
    </cfRule>
  </conditionalFormatting>
  <conditionalFormatting sqref="C18">
    <cfRule type="expression" dxfId="1" priority="23">
      <formula>ROUNDUP($C$20,0)&lt;70</formula>
    </cfRule>
    <cfRule type="expression" dxfId="0" priority="24">
      <formula>ROUNDDOWN($C$20,0)&gt;140</formula>
    </cfRule>
  </conditionalFormatting>
  <dataValidations count="5">
    <dataValidation type="whole" allowBlank="1" showInputMessage="1" showErrorMessage="1" sqref="C20">
      <formula1>100</formula1>
      <formula2>130</formula2>
    </dataValidation>
    <dataValidation type="list" allowBlank="1" showInputMessage="1" showErrorMessage="1" sqref="C13">
      <formula1>"5, 10, 15, 20"</formula1>
    </dataValidation>
    <dataValidation type="list" allowBlank="1" showInputMessage="1" showErrorMessage="1" sqref="C8">
      <formula1>"47, 50, 60"</formula1>
    </dataValidation>
    <dataValidation showDropDown="1" showInputMessage="1" showErrorMessage="1" sqref="C16"/>
    <dataValidation type="whole" allowBlank="1" showInputMessage="1" showErrorMessage="1" sqref="C6">
      <formula1>F18</formula1>
      <formula2>#REF!</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D1:F53"/>
  <sheetViews>
    <sheetView showGridLines="0" view="pageLayout" zoomScaleNormal="90" zoomScaleSheetLayoutView="100" workbookViewId="0">
      <selection activeCell="D39" sqref="D39"/>
    </sheetView>
  </sheetViews>
  <sheetFormatPr defaultRowHeight="15.6"/>
  <cols>
    <col min="1" max="1" width="2.3984375" style="108" customWidth="1"/>
    <col min="2" max="3" width="8.796875" style="108" customWidth="1"/>
    <col min="4" max="4" width="34.69921875" style="108" customWidth="1"/>
    <col min="5" max="5" width="9.8984375" style="108" customWidth="1"/>
    <col min="6" max="6" width="14.796875" style="108" customWidth="1"/>
    <col min="7" max="8" width="8.796875" style="108" customWidth="1"/>
    <col min="9" max="9" width="2.69921875" style="108" customWidth="1"/>
    <col min="10" max="18" width="8.796875" style="108"/>
    <col min="19" max="19" width="21.59765625" style="108" customWidth="1"/>
    <col min="20" max="16384" width="8.796875" style="108"/>
  </cols>
  <sheetData>
    <row r="1" spans="4:6" ht="16.2" thickBot="1"/>
    <row r="2" spans="4:6">
      <c r="D2" s="239" t="s">
        <v>70</v>
      </c>
      <c r="E2" s="241" t="s">
        <v>71</v>
      </c>
      <c r="F2" s="243">
        <f>Vo_max*'System Designer'!C11</f>
        <v>65</v>
      </c>
    </row>
    <row r="3" spans="4:6">
      <c r="D3" s="240"/>
      <c r="E3" s="242"/>
      <c r="F3" s="244"/>
    </row>
    <row r="4" spans="4:6" ht="18">
      <c r="D4" s="109" t="s">
        <v>290</v>
      </c>
      <c r="E4" s="110" t="s">
        <v>293</v>
      </c>
      <c r="F4" s="111">
        <f>'System Designer'!C6</f>
        <v>264</v>
      </c>
    </row>
    <row r="5" spans="4:6" ht="18">
      <c r="D5" s="109" t="s">
        <v>291</v>
      </c>
      <c r="E5" s="110" t="s">
        <v>292</v>
      </c>
      <c r="F5" s="111">
        <f>'System Designer'!C7</f>
        <v>90</v>
      </c>
    </row>
    <row r="6" spans="4:6">
      <c r="D6" s="109" t="s">
        <v>208</v>
      </c>
      <c r="E6" s="112" t="s">
        <v>75</v>
      </c>
      <c r="F6" s="113">
        <f>'System Designer'!C8</f>
        <v>50</v>
      </c>
    </row>
    <row r="7" spans="4:6" ht="18">
      <c r="D7" s="109" t="s">
        <v>294</v>
      </c>
      <c r="E7" s="110" t="s">
        <v>295</v>
      </c>
      <c r="F7" s="114">
        <f>Vo_max</f>
        <v>20</v>
      </c>
    </row>
    <row r="8" spans="4:6">
      <c r="D8" s="115" t="s">
        <v>157</v>
      </c>
      <c r="E8" s="116" t="s">
        <v>220</v>
      </c>
      <c r="F8" s="117">
        <f>'System Designer'!C15</f>
        <v>98.82352941176471</v>
      </c>
    </row>
    <row r="9" spans="4:6">
      <c r="D9" s="236" t="s">
        <v>164</v>
      </c>
      <c r="E9" s="237"/>
      <c r="F9" s="238"/>
    </row>
    <row r="10" spans="4:6">
      <c r="D10" s="118" t="s">
        <v>152</v>
      </c>
      <c r="E10" s="116" t="s">
        <v>72</v>
      </c>
      <c r="F10" s="119">
        <f>Lm</f>
        <v>240</v>
      </c>
    </row>
    <row r="11" spans="4:6">
      <c r="D11" s="118" t="s">
        <v>165</v>
      </c>
      <c r="E11" s="116" t="s">
        <v>129</v>
      </c>
      <c r="F11" s="120">
        <f>'System Designer'!C51</f>
        <v>100</v>
      </c>
    </row>
    <row r="12" spans="4:6">
      <c r="D12" s="118" t="s">
        <v>170</v>
      </c>
      <c r="E12" s="116" t="s">
        <v>127</v>
      </c>
      <c r="F12" s="121">
        <f>NP</f>
        <v>26</v>
      </c>
    </row>
    <row r="13" spans="4:6">
      <c r="D13" s="118" t="s">
        <v>170</v>
      </c>
      <c r="E13" s="116" t="s">
        <v>172</v>
      </c>
      <c r="F13" s="121">
        <f>NS</f>
        <v>4</v>
      </c>
    </row>
    <row r="14" spans="4:6">
      <c r="D14" s="118" t="s">
        <v>283</v>
      </c>
      <c r="E14" s="116" t="s">
        <v>131</v>
      </c>
      <c r="F14" s="121">
        <f>Naux</f>
        <v>11</v>
      </c>
    </row>
    <row r="15" spans="4:6">
      <c r="D15" s="118" t="s">
        <v>73</v>
      </c>
      <c r="E15" s="116" t="s">
        <v>74</v>
      </c>
      <c r="F15" s="122">
        <f>NP/NS</f>
        <v>6.5</v>
      </c>
    </row>
    <row r="16" spans="4:6">
      <c r="D16" s="118" t="s">
        <v>311</v>
      </c>
      <c r="E16" s="123" t="s">
        <v>128</v>
      </c>
      <c r="F16" s="124">
        <f>'System Designer'!C52</f>
        <v>290</v>
      </c>
    </row>
    <row r="17" spans="4:6" ht="18">
      <c r="D17" s="118" t="s">
        <v>188</v>
      </c>
      <c r="E17" s="112" t="s">
        <v>284</v>
      </c>
      <c r="F17" s="125">
        <f>VOR</f>
        <v>130</v>
      </c>
    </row>
    <row r="18" spans="4:6">
      <c r="D18" s="236" t="s">
        <v>315</v>
      </c>
      <c r="E18" s="237"/>
      <c r="F18" s="238"/>
    </row>
    <row r="19" spans="4:6">
      <c r="D19" s="118" t="s">
        <v>288</v>
      </c>
      <c r="E19" s="123" t="s">
        <v>189</v>
      </c>
      <c r="F19" s="126">
        <f>'System Designer'!C65</f>
        <v>270</v>
      </c>
    </row>
    <row r="20" spans="4:6">
      <c r="D20" s="118" t="s">
        <v>289</v>
      </c>
      <c r="E20" s="123" t="s">
        <v>190</v>
      </c>
      <c r="F20" s="127">
        <f>'System Designer'!C67</f>
        <v>15.078534031413612</v>
      </c>
    </row>
    <row r="21" spans="4:6">
      <c r="D21" s="118" t="s">
        <v>192</v>
      </c>
      <c r="E21" s="123" t="s">
        <v>194</v>
      </c>
      <c r="F21" s="128">
        <f>'System Designer'!C66</f>
        <v>22</v>
      </c>
    </row>
    <row r="22" spans="4:6">
      <c r="D22" s="118" t="s">
        <v>193</v>
      </c>
      <c r="E22" s="112" t="s">
        <v>195</v>
      </c>
      <c r="F22" s="129">
        <f>'System Designer'!C68</f>
        <v>2.7500000000000004</v>
      </c>
    </row>
    <row r="23" spans="4:6">
      <c r="D23" s="236" t="s">
        <v>314</v>
      </c>
      <c r="E23" s="237"/>
      <c r="F23" s="238"/>
    </row>
    <row r="24" spans="4:6">
      <c r="D24" s="130" t="s">
        <v>76</v>
      </c>
      <c r="E24" s="116" t="s">
        <v>77</v>
      </c>
      <c r="F24" s="131">
        <f>ROUND(Rcs,3)*1000</f>
        <v>170</v>
      </c>
    </row>
    <row r="25" spans="4:6">
      <c r="D25" s="118" t="s">
        <v>286</v>
      </c>
      <c r="E25" s="123" t="s">
        <v>75</v>
      </c>
      <c r="F25" s="132">
        <f>'System Designer'!C46</f>
        <v>1</v>
      </c>
    </row>
    <row r="26" spans="4:6">
      <c r="D26" s="118" t="s">
        <v>287</v>
      </c>
      <c r="E26" s="123" t="s">
        <v>75</v>
      </c>
      <c r="F26" s="133">
        <f>'System Designer'!C47</f>
        <v>100</v>
      </c>
    </row>
    <row r="27" spans="4:6">
      <c r="D27" s="233" t="s">
        <v>313</v>
      </c>
      <c r="E27" s="234"/>
      <c r="F27" s="235"/>
    </row>
    <row r="28" spans="4:6" ht="18">
      <c r="D28" s="118" t="s">
        <v>296</v>
      </c>
      <c r="E28" s="123" t="s">
        <v>297</v>
      </c>
      <c r="F28" s="134">
        <f>'System Designer'!C73</f>
        <v>77.438827764076478</v>
      </c>
    </row>
    <row r="29" spans="4:6" ht="18">
      <c r="D29" s="118" t="s">
        <v>300</v>
      </c>
      <c r="E29" s="123" t="s">
        <v>309</v>
      </c>
      <c r="F29" s="134">
        <f>'System Designer'!C78</f>
        <v>533.35238046649715</v>
      </c>
    </row>
    <row r="30" spans="4:6" ht="18.600000000000001" thickBot="1">
      <c r="D30" s="202" t="s">
        <v>308</v>
      </c>
      <c r="E30" s="203" t="s">
        <v>310</v>
      </c>
      <c r="F30" s="204">
        <f>'System Designer'!C81</f>
        <v>488.3523804664971</v>
      </c>
    </row>
    <row r="53" ht="24" customHeight="1"/>
  </sheetData>
  <sheetProtection password="96F6" sheet="1" objects="1" scenarios="1" selectLockedCells="1"/>
  <mergeCells count="7">
    <mergeCell ref="D27:F27"/>
    <mergeCell ref="D9:F9"/>
    <mergeCell ref="D2:D3"/>
    <mergeCell ref="E2:E3"/>
    <mergeCell ref="F2:F3"/>
    <mergeCell ref="D18:F18"/>
    <mergeCell ref="D23:F23"/>
  </mergeCells>
  <phoneticPr fontId="1" type="noConversion"/>
  <pageMargins left="0.25" right="0.25" top="0.57108333333333339" bottom="0.48809523809523808" header="0.3" footer="0.3"/>
  <pageSetup paperSize="9" scale="89" orientation="portrait" r:id="rId1"/>
  <headerFooter>
    <oddHeader>&amp;C&amp;"-,Bold"Summary</oddHeader>
  </headerFooter>
  <rowBreaks count="1" manualBreakCount="1">
    <brk id="53" max="16383" man="1"/>
  </rowBreaks>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Z360"/>
  <sheetViews>
    <sheetView topLeftCell="A6" zoomScale="90" zoomScaleNormal="90" workbookViewId="0">
      <selection activeCell="M33" sqref="M33"/>
    </sheetView>
  </sheetViews>
  <sheetFormatPr defaultRowHeight="15.6"/>
  <cols>
    <col min="1" max="35" width="9.69921875" customWidth="1"/>
    <col min="36" max="37" width="9.59765625" customWidth="1"/>
  </cols>
  <sheetData>
    <row r="1" spans="1:13" ht="23.4">
      <c r="A1" s="1" t="s">
        <v>5</v>
      </c>
    </row>
    <row r="2" spans="1:13" s="6" customFormat="1" ht="62.4">
      <c r="A2" s="140" t="s">
        <v>17</v>
      </c>
      <c r="B2" s="142" t="s">
        <v>6</v>
      </c>
      <c r="C2" s="142" t="s">
        <v>8</v>
      </c>
      <c r="D2" s="142" t="s">
        <v>131</v>
      </c>
      <c r="E2" s="140" t="s">
        <v>337</v>
      </c>
      <c r="F2" s="140" t="s">
        <v>18</v>
      </c>
      <c r="G2" s="139" t="s">
        <v>19</v>
      </c>
      <c r="H2" s="140" t="s">
        <v>116</v>
      </c>
      <c r="I2" s="140" t="s">
        <v>117</v>
      </c>
      <c r="J2" s="140" t="s">
        <v>118</v>
      </c>
      <c r="K2" s="140" t="s">
        <v>212</v>
      </c>
      <c r="L2" s="140" t="s">
        <v>353</v>
      </c>
      <c r="M2" s="143" t="s">
        <v>312</v>
      </c>
    </row>
    <row r="3" spans="1:13">
      <c r="A3" s="2">
        <f>Lm</f>
        <v>240</v>
      </c>
      <c r="B3" s="2">
        <f>NP</f>
        <v>26</v>
      </c>
      <c r="C3" s="2">
        <f>NS</f>
        <v>4</v>
      </c>
      <c r="D3" s="2">
        <f>Naux</f>
        <v>11</v>
      </c>
      <c r="E3" s="2">
        <f>ROUND(Rcs,3)</f>
        <v>0.17</v>
      </c>
      <c r="F3" s="59">
        <f>'System Designer'!C46</f>
        <v>1</v>
      </c>
      <c r="G3" s="61">
        <f>'System Designer'!C27</f>
        <v>1.1199999999999999</v>
      </c>
      <c r="H3" s="59">
        <f>'System Designer'!C65</f>
        <v>270</v>
      </c>
      <c r="I3" s="62">
        <f>'System Designer'!C67</f>
        <v>15.078534031413612</v>
      </c>
      <c r="J3" s="2">
        <v>70</v>
      </c>
      <c r="K3" s="62">
        <f>E16/E3</f>
        <v>3.4117647058823524</v>
      </c>
      <c r="L3" s="63">
        <f>'System Designer'!C19</f>
        <v>65</v>
      </c>
      <c r="M3" s="59">
        <f>A3*K3/(B3*'System Designer'!C51)*1000</f>
        <v>314.93212669683254</v>
      </c>
    </row>
    <row r="4" spans="1:13" ht="27">
      <c r="A4" s="1" t="s">
        <v>354</v>
      </c>
    </row>
    <row r="5" spans="1:13" ht="51.6">
      <c r="A5" s="11" t="s">
        <v>20</v>
      </c>
      <c r="B5" s="52" t="s">
        <v>122</v>
      </c>
      <c r="C5" s="11" t="s">
        <v>282</v>
      </c>
      <c r="D5" s="52" t="s">
        <v>21</v>
      </c>
      <c r="E5" s="52" t="s">
        <v>281</v>
      </c>
      <c r="F5" s="11" t="s">
        <v>123</v>
      </c>
      <c r="G5" s="53" t="s">
        <v>221</v>
      </c>
      <c r="H5" s="40" t="s">
        <v>222</v>
      </c>
      <c r="I5" s="11" t="s">
        <v>280</v>
      </c>
      <c r="J5" s="138" t="s">
        <v>355</v>
      </c>
      <c r="K5" s="138" t="s">
        <v>356</v>
      </c>
      <c r="L5" s="138" t="s">
        <v>357</v>
      </c>
    </row>
    <row r="6" spans="1:13">
      <c r="A6" s="2"/>
      <c r="B6" s="9">
        <v>0</v>
      </c>
      <c r="C6" s="62">
        <f>'System Designer'!C12</f>
        <v>65</v>
      </c>
      <c r="D6" s="2">
        <f>Vo_max</f>
        <v>20</v>
      </c>
      <c r="E6" s="10">
        <v>0.2</v>
      </c>
      <c r="F6" s="62">
        <f>D6+E6</f>
        <v>20.2</v>
      </c>
      <c r="G6" s="63">
        <f>C6*(Naux/NP)/H3*1000</f>
        <v>101.85185185185185</v>
      </c>
      <c r="H6" s="61">
        <f>H7</f>
        <v>2.9381818181818184</v>
      </c>
      <c r="I6" s="64">
        <f>3333*(G6*0.000001)/H6+0.8</f>
        <v>0.91553819444444451</v>
      </c>
      <c r="J6" s="64">
        <f>N33+($L$3-N$32)*(O33-N33)/(O$32-N$32)</f>
        <v>0.71339999999999992</v>
      </c>
      <c r="K6" s="64">
        <f>N42+($L$3-N$41)*(O42-N42)/(O$41-N$41)</f>
        <v>0.67199999999999993</v>
      </c>
      <c r="L6" s="64">
        <f>N51+($L$3-N$50)*(O51-N51)/(O$50-N$50)</f>
        <v>1.708</v>
      </c>
    </row>
    <row r="7" spans="1:13">
      <c r="A7" s="2">
        <v>90</v>
      </c>
      <c r="B7" s="9">
        <v>0</v>
      </c>
      <c r="C7" s="62">
        <f>SQRT(2)*A7-B7</f>
        <v>127.27922061357856</v>
      </c>
      <c r="D7" s="2">
        <f>Vo_max</f>
        <v>20</v>
      </c>
      <c r="E7" s="10">
        <v>0.2</v>
      </c>
      <c r="F7" s="62">
        <f>D7+E7</f>
        <v>20.2</v>
      </c>
      <c r="G7" s="63">
        <f>C7*(Naux/NP)/H$3*1000</f>
        <v>199.44037418082112</v>
      </c>
      <c r="H7" s="61">
        <f>F7*(Naux/NS)*(I$3/(H$3+I$3))</f>
        <v>2.9381818181818184</v>
      </c>
      <c r="I7" s="64">
        <f>3333*(G7*0.000001)/H7+0.8</f>
        <v>1.0262401744613689</v>
      </c>
      <c r="J7" s="64">
        <f>N34+($L$3-N$32)*(O34-N34)/(O$32-N$32)</f>
        <v>0.41759999999999997</v>
      </c>
      <c r="K7" s="64">
        <f>N43+($L$3-N$41)*(O43-N43)/(O$41-N$41)</f>
        <v>0.65799999999999992</v>
      </c>
      <c r="L7" s="64">
        <f>N52+($L$3-N$50)*(O52-N52)/(O$50-N$50)</f>
        <v>1.3159999999999998</v>
      </c>
    </row>
    <row r="8" spans="1:13">
      <c r="A8" s="2">
        <v>115</v>
      </c>
      <c r="B8" s="9">
        <v>0</v>
      </c>
      <c r="C8" s="62">
        <f>SQRT(2)*A8-B8</f>
        <v>162.63455967290594</v>
      </c>
      <c r="D8" s="2">
        <f>Vo_max</f>
        <v>20</v>
      </c>
      <c r="E8" s="10">
        <v>0.2</v>
      </c>
      <c r="F8" s="62">
        <f>D8+E8</f>
        <v>20.2</v>
      </c>
      <c r="G8" s="63">
        <f>C8*(Naux/NP)/H3*1000</f>
        <v>254.8404781199381</v>
      </c>
      <c r="H8" s="61">
        <f>H7</f>
        <v>2.9381818181818184</v>
      </c>
      <c r="I8" s="64">
        <f>3333*(G8*0.000001)/H8+0.8</f>
        <v>1.0890846673673047</v>
      </c>
      <c r="J8" s="64">
        <f>N35+($L$3-N$32)*(O35-N35)/(O$32-N$32)</f>
        <v>0.34800000000000003</v>
      </c>
      <c r="K8" s="64">
        <f>N44+($L$3-N$41)*(O44-N44)/(O$41-N$41)</f>
        <v>0.63</v>
      </c>
      <c r="L8" s="64">
        <f>N53+($L$3-N$50)*(O53-N53)/(O$50-N$50)</f>
        <v>1.1199999999999999</v>
      </c>
    </row>
    <row r="9" spans="1:13">
      <c r="A9" s="2">
        <v>230</v>
      </c>
      <c r="B9" s="9">
        <v>0</v>
      </c>
      <c r="C9" s="62">
        <f>SQRT(2)*A9-B9</f>
        <v>325.26911934581187</v>
      </c>
      <c r="D9" s="2">
        <f>Vo_max</f>
        <v>20</v>
      </c>
      <c r="E9" s="10">
        <v>0.2</v>
      </c>
      <c r="F9" s="62">
        <f>D9+E9</f>
        <v>20.2</v>
      </c>
      <c r="G9" s="63">
        <f>C9*(Naux/NP)/H3*1000</f>
        <v>509.6809562398762</v>
      </c>
      <c r="H9" s="61">
        <f>H7</f>
        <v>2.9381818181818184</v>
      </c>
      <c r="I9" s="64">
        <f>3333*(G9*0.000001)/H9+0.8</f>
        <v>1.3781693347346096</v>
      </c>
      <c r="J9" s="64">
        <f>N36+($L$3-N$32)*(O36-N36)/(O$32-N$32)</f>
        <v>0.27839999999999998</v>
      </c>
      <c r="K9" s="64">
        <f>N45+($L$3-N$41)*(O45-N45)/(O$41-N$41)</f>
        <v>0.61599999999999999</v>
      </c>
      <c r="L9" s="64">
        <f>N54+($L$3-N$50)*(O54-N54)/(O$50-N$50)</f>
        <v>0.93799999999999994</v>
      </c>
    </row>
    <row r="10" spans="1:13">
      <c r="A10" s="2">
        <v>264</v>
      </c>
      <c r="B10" s="9">
        <v>0</v>
      </c>
      <c r="C10" s="62">
        <f>SQRT(2)*A10-B10</f>
        <v>373.3523804664971</v>
      </c>
      <c r="D10" s="2">
        <f>Vo_max</f>
        <v>20</v>
      </c>
      <c r="E10" s="10">
        <v>0.2</v>
      </c>
      <c r="F10" s="62">
        <f>D10+E10</f>
        <v>20.2</v>
      </c>
      <c r="G10" s="63">
        <f>C10*(Naux/NP)/H3*1000</f>
        <v>585.02509759707527</v>
      </c>
      <c r="H10" s="61">
        <f>H7</f>
        <v>2.9381818181818184</v>
      </c>
      <c r="I10" s="64">
        <f>3333*(G10*0.000001)/H10+0.8</f>
        <v>1.4636378450866823</v>
      </c>
      <c r="J10" s="64">
        <f>N37+($L$3-N$32)*(O37-N37)/(O$32-N$32)</f>
        <v>0.26100000000000001</v>
      </c>
      <c r="K10" s="64">
        <f>N46+($L$3-N$41)*(O46-N46)/(O$41-N$41)</f>
        <v>0.60199999999999998</v>
      </c>
      <c r="L10" s="64">
        <f>N55+($L$3-N$50)*(O55-N55)/(O$50-N$50)</f>
        <v>0.93099999999999994</v>
      </c>
    </row>
    <row r="11" spans="1:13" ht="23.4">
      <c r="A11" s="1" t="s">
        <v>7</v>
      </c>
      <c r="I11" s="176"/>
    </row>
    <row r="12" spans="1:13" ht="46.8">
      <c r="A12" s="139" t="s">
        <v>336</v>
      </c>
      <c r="B12" s="139" t="s">
        <v>339</v>
      </c>
      <c r="C12" s="140" t="s">
        <v>14</v>
      </c>
      <c r="D12" s="140" t="s">
        <v>15</v>
      </c>
      <c r="E12" s="140" t="s">
        <v>30</v>
      </c>
      <c r="F12" s="140" t="s">
        <v>31</v>
      </c>
      <c r="G12" s="141" t="s">
        <v>34</v>
      </c>
      <c r="H12" s="140" t="s">
        <v>32</v>
      </c>
      <c r="I12" s="170" t="s">
        <v>358</v>
      </c>
      <c r="J12" s="139" t="s">
        <v>16</v>
      </c>
    </row>
    <row r="13" spans="1:13">
      <c r="A13" s="10">
        <v>1.25</v>
      </c>
      <c r="B13" s="10">
        <v>2.1</v>
      </c>
      <c r="C13" s="10">
        <v>140</v>
      </c>
      <c r="D13" s="61">
        <f>1000/C13</f>
        <v>7.1428571428571432</v>
      </c>
      <c r="E13" s="67">
        <v>0.3</v>
      </c>
      <c r="F13" s="61">
        <f>D13-E13</f>
        <v>6.8428571428571434</v>
      </c>
      <c r="G13" s="10">
        <v>8</v>
      </c>
      <c r="H13" s="61">
        <f>F13*G13</f>
        <v>54.742857142857147</v>
      </c>
      <c r="I13" s="169">
        <f>Tdead</f>
        <v>0.48</v>
      </c>
      <c r="J13" s="65">
        <v>22</v>
      </c>
    </row>
    <row r="14" spans="1:13" ht="23.4">
      <c r="A14" s="1" t="s">
        <v>9</v>
      </c>
    </row>
    <row r="15" spans="1:13" ht="31.8">
      <c r="A15" s="144" t="s">
        <v>111</v>
      </c>
      <c r="B15" s="144" t="s">
        <v>13</v>
      </c>
      <c r="C15" s="139" t="s">
        <v>338</v>
      </c>
      <c r="D15" s="139" t="s">
        <v>125</v>
      </c>
      <c r="E15" s="139" t="s">
        <v>126</v>
      </c>
      <c r="F15" s="140" t="s">
        <v>124</v>
      </c>
    </row>
    <row r="16" spans="1:13">
      <c r="A16" s="10">
        <v>6</v>
      </c>
      <c r="B16" s="10">
        <f>1/A16</f>
        <v>0.16666666666666666</v>
      </c>
      <c r="C16" s="10">
        <v>0</v>
      </c>
      <c r="D16" s="65">
        <v>3.2</v>
      </c>
      <c r="E16" s="65">
        <v>0.57999999999999996</v>
      </c>
      <c r="F16" s="2">
        <v>0.1</v>
      </c>
    </row>
    <row r="17" spans="1:16" ht="23.4">
      <c r="A17" s="1" t="s">
        <v>10</v>
      </c>
    </row>
    <row r="18" spans="1:16" s="6" customFormat="1" ht="31.2">
      <c r="A18" s="143" t="s">
        <v>22</v>
      </c>
      <c r="B18" s="143" t="s">
        <v>23</v>
      </c>
      <c r="C18" s="143" t="s">
        <v>24</v>
      </c>
      <c r="D18" s="143" t="s">
        <v>25</v>
      </c>
    </row>
    <row r="19" spans="1:16">
      <c r="A19" s="2">
        <v>4.7</v>
      </c>
      <c r="B19" s="2">
        <v>8</v>
      </c>
      <c r="C19" s="2">
        <v>80</v>
      </c>
      <c r="D19" s="5">
        <f>C19*1000/(B19-A19)</f>
        <v>24242.424242424244</v>
      </c>
    </row>
    <row r="20" spans="1:16" ht="23.4">
      <c r="A20" s="1" t="s">
        <v>11</v>
      </c>
    </row>
    <row r="21" spans="1:16" ht="16.2">
      <c r="A21" s="12" t="s">
        <v>0</v>
      </c>
      <c r="B21" s="12" t="s">
        <v>1</v>
      </c>
      <c r="C21" s="4" t="s">
        <v>12</v>
      </c>
      <c r="D21" s="7" t="s">
        <v>108</v>
      </c>
      <c r="E21" s="4" t="s">
        <v>28</v>
      </c>
      <c r="F21" s="4" t="s">
        <v>29</v>
      </c>
      <c r="O21" s="8"/>
      <c r="P21" s="8"/>
    </row>
    <row r="22" spans="1:16">
      <c r="A22" s="2">
        <f>A6</f>
        <v>0</v>
      </c>
      <c r="B22" s="62">
        <f>C6</f>
        <v>65</v>
      </c>
      <c r="C22" s="61">
        <f>B22*$D$3*1000000/($H$3*1000*$B$3)</f>
        <v>101.85185185185185</v>
      </c>
      <c r="D22" s="38">
        <f>1/16</f>
        <v>6.25E-2</v>
      </c>
      <c r="E22" s="78">
        <f>C22*$F$3*D22/1000</f>
        <v>6.3657407407407404E-3</v>
      </c>
      <c r="F22" s="61">
        <f>C22*D22</f>
        <v>6.3657407407407405</v>
      </c>
      <c r="G22" s="172" t="str">
        <f>CONCATENATE("VBULK = ",TEXT(Ver130kHz!$B22,"#"),"VDC")</f>
        <v>VBULK = 65VDC</v>
      </c>
      <c r="J22" s="173"/>
    </row>
    <row r="23" spans="1:16">
      <c r="A23" s="2">
        <f>A7</f>
        <v>90</v>
      </c>
      <c r="B23" s="62">
        <f>C7</f>
        <v>127.27922061357856</v>
      </c>
      <c r="C23" s="61">
        <f>B23*$D$3*1000000/($H$3*1000*$B$3)</f>
        <v>199.4403741808211</v>
      </c>
      <c r="D23" s="38">
        <f t="shared" ref="D23:D26" si="0">1/16</f>
        <v>6.25E-2</v>
      </c>
      <c r="E23" s="78">
        <f>C23*$F$3*D23/1000</f>
        <v>1.2465023386301318E-2</v>
      </c>
      <c r="F23" s="61">
        <f>C23*D23</f>
        <v>12.465023386301318</v>
      </c>
      <c r="G23" s="172" t="str">
        <f>CONCATENATE("peak at ",TEXT(Ver130kHz!$A23,"#"),"VAC")</f>
        <v>peak at 90VAC</v>
      </c>
      <c r="J23" s="173"/>
    </row>
    <row r="24" spans="1:16">
      <c r="A24" s="2">
        <f>A8</f>
        <v>115</v>
      </c>
      <c r="B24" s="62">
        <f>C8</f>
        <v>162.63455967290594</v>
      </c>
      <c r="C24" s="61">
        <f>B24*$D$3*1000000/($H$3*1000*$B$3)</f>
        <v>254.8404781199381</v>
      </c>
      <c r="D24" s="38">
        <f t="shared" si="0"/>
        <v>6.25E-2</v>
      </c>
      <c r="E24" s="78">
        <f>C24*$F$3*D24/1000</f>
        <v>1.5927529882496131E-2</v>
      </c>
      <c r="F24" s="61">
        <f>C24*D24</f>
        <v>15.927529882496131</v>
      </c>
      <c r="G24" s="172" t="str">
        <f>CONCATENATE("peak at ",TEXT(Ver130kHz!$A24,"#"),"VAC")</f>
        <v>peak at 115VAC</v>
      </c>
      <c r="J24" s="173"/>
    </row>
    <row r="25" spans="1:16">
      <c r="A25" s="2">
        <f>A9</f>
        <v>230</v>
      </c>
      <c r="B25" s="62">
        <f>C9</f>
        <v>325.26911934581187</v>
      </c>
      <c r="C25" s="61">
        <f>B25*$D$3*1000000/($H$3*1000*$B$3)</f>
        <v>509.6809562398762</v>
      </c>
      <c r="D25" s="38">
        <f t="shared" si="0"/>
        <v>6.25E-2</v>
      </c>
      <c r="E25" s="78">
        <f>C25*$F$3*D25/1000</f>
        <v>3.1855059764992262E-2</v>
      </c>
      <c r="F25" s="61">
        <f>C25*D25</f>
        <v>31.855059764992262</v>
      </c>
      <c r="G25" s="172" t="str">
        <f>CONCATENATE("peak at ",TEXT(Ver130kHz!$A25,"#"),"VAC")</f>
        <v>peak at 230VAC</v>
      </c>
      <c r="J25" s="173"/>
    </row>
    <row r="26" spans="1:16">
      <c r="A26" s="2">
        <f>A10</f>
        <v>264</v>
      </c>
      <c r="B26" s="62">
        <f>C10</f>
        <v>373.3523804664971</v>
      </c>
      <c r="C26" s="61">
        <f>B26*$D$3*1000000/($H$3*1000*$B$3)</f>
        <v>585.02509759707527</v>
      </c>
      <c r="D26" s="38">
        <f t="shared" si="0"/>
        <v>6.25E-2</v>
      </c>
      <c r="E26" s="78">
        <f>C26*$F$3*D26/1000</f>
        <v>3.6564068599817208E-2</v>
      </c>
      <c r="F26" s="61">
        <f>C26*D26</f>
        <v>36.564068599817205</v>
      </c>
      <c r="G26" s="172" t="str">
        <f>CONCATENATE("peak at ",TEXT(Ver130kHz!$A26,"#"),"VAC")</f>
        <v>peak at 264VAC</v>
      </c>
      <c r="J26" s="173"/>
    </row>
    <row r="28" spans="1:16">
      <c r="K28" s="66"/>
    </row>
    <row r="29" spans="1:16">
      <c r="K29" s="66"/>
    </row>
    <row r="30" spans="1:16">
      <c r="H30" s="60"/>
      <c r="I30" s="60"/>
      <c r="K30" s="66"/>
    </row>
    <row r="31" spans="1:16">
      <c r="K31" s="66"/>
      <c r="M31" s="145" t="s">
        <v>342</v>
      </c>
      <c r="N31" s="145"/>
      <c r="O31" s="145"/>
    </row>
    <row r="32" spans="1:16">
      <c r="K32" s="66"/>
      <c r="M32" s="146" t="str">
        <f>'System Designer'!G19</f>
        <v>Vin DC\Po</v>
      </c>
      <c r="N32" s="146">
        <f>'System Designer'!H19</f>
        <v>45</v>
      </c>
      <c r="O32" s="146">
        <f>'System Designer'!I19</f>
        <v>65</v>
      </c>
    </row>
    <row r="33" spans="11:17">
      <c r="K33" s="66"/>
      <c r="M33" s="146">
        <v>70</v>
      </c>
      <c r="N33" s="177">
        <v>0.82</v>
      </c>
      <c r="O33" s="177">
        <v>0.71339999999999992</v>
      </c>
      <c r="Q33" s="179"/>
    </row>
    <row r="34" spans="11:17">
      <c r="K34" s="66"/>
      <c r="M34" s="146">
        <v>127</v>
      </c>
      <c r="N34" s="177">
        <v>0.48</v>
      </c>
      <c r="O34" s="177">
        <v>0.41759999999999997</v>
      </c>
    </row>
    <row r="35" spans="11:17">
      <c r="K35" s="66"/>
      <c r="M35" s="146">
        <v>163</v>
      </c>
      <c r="N35" s="178">
        <v>0.4</v>
      </c>
      <c r="O35" s="178">
        <v>0.34800000000000003</v>
      </c>
    </row>
    <row r="36" spans="11:17">
      <c r="K36" s="66"/>
      <c r="M36" s="146">
        <v>325</v>
      </c>
      <c r="N36" s="177">
        <v>0.32</v>
      </c>
      <c r="O36" s="177">
        <v>0.27839999999999998</v>
      </c>
    </row>
    <row r="37" spans="11:17">
      <c r="K37" s="66"/>
      <c r="M37" s="146">
        <v>373</v>
      </c>
      <c r="N37" s="177">
        <v>0.3</v>
      </c>
      <c r="O37" s="177">
        <v>0.26100000000000001</v>
      </c>
    </row>
    <row r="38" spans="11:17">
      <c r="K38" s="66"/>
      <c r="M38" s="148" t="s">
        <v>341</v>
      </c>
      <c r="N38" s="148"/>
      <c r="O38" s="148"/>
    </row>
    <row r="39" spans="11:17">
      <c r="K39" s="66"/>
      <c r="M39" s="148"/>
      <c r="N39" s="148"/>
      <c r="O39" s="148"/>
    </row>
    <row r="40" spans="11:17">
      <c r="M40" s="145" t="s">
        <v>340</v>
      </c>
      <c r="N40" s="145"/>
      <c r="O40" s="145"/>
    </row>
    <row r="41" spans="11:17">
      <c r="K41" s="66"/>
      <c r="M41" s="146" t="str">
        <f>'System Designer'!L19</f>
        <v>Vin DC\Po</v>
      </c>
      <c r="N41" s="146">
        <f>'System Designer'!M19</f>
        <v>45</v>
      </c>
      <c r="O41" s="146">
        <f>'System Designer'!N19</f>
        <v>65</v>
      </c>
    </row>
    <row r="42" spans="11:17">
      <c r="K42" s="66"/>
      <c r="M42" s="146">
        <v>70</v>
      </c>
      <c r="N42" s="200">
        <v>0.96</v>
      </c>
      <c r="O42" s="200">
        <v>0.67199999999999993</v>
      </c>
    </row>
    <row r="43" spans="11:17">
      <c r="K43" s="66"/>
      <c r="M43" s="146">
        <v>127</v>
      </c>
      <c r="N43" s="200">
        <v>0.94</v>
      </c>
      <c r="O43" s="200">
        <v>0.65799999999999992</v>
      </c>
    </row>
    <row r="44" spans="11:17">
      <c r="K44" s="66"/>
      <c r="M44" s="146">
        <v>163</v>
      </c>
      <c r="N44" s="200">
        <v>0.9</v>
      </c>
      <c r="O44" s="200">
        <v>0.63</v>
      </c>
    </row>
    <row r="45" spans="11:17">
      <c r="K45" s="66"/>
      <c r="M45" s="146">
        <v>325</v>
      </c>
      <c r="N45" s="200">
        <v>0.88</v>
      </c>
      <c r="O45" s="200">
        <v>0.61599999999999999</v>
      </c>
    </row>
    <row r="46" spans="11:17">
      <c r="K46" s="66"/>
      <c r="M46" s="146">
        <v>373</v>
      </c>
      <c r="N46" s="200">
        <v>0.86</v>
      </c>
      <c r="O46" s="200">
        <v>0.60199999999999998</v>
      </c>
    </row>
    <row r="47" spans="11:17">
      <c r="K47" s="66"/>
      <c r="M47" s="148" t="s">
        <v>343</v>
      </c>
      <c r="N47" s="148"/>
      <c r="O47" s="148"/>
    </row>
    <row r="48" spans="11:17">
      <c r="K48" s="66"/>
      <c r="M48" s="148"/>
      <c r="N48" s="148"/>
      <c r="O48" s="148"/>
    </row>
    <row r="49" spans="1:26">
      <c r="K49" s="66"/>
      <c r="M49" s="145" t="s">
        <v>334</v>
      </c>
      <c r="N49" s="145"/>
      <c r="O49" s="145"/>
    </row>
    <row r="50" spans="1:26">
      <c r="K50" s="66"/>
      <c r="M50" s="146" t="str">
        <f>'System Designer'!S19</f>
        <v>Vin DC\Po</v>
      </c>
      <c r="N50" s="146">
        <f>'System Designer'!T19</f>
        <v>45</v>
      </c>
      <c r="O50" s="146">
        <f>'System Designer'!U19</f>
        <v>65</v>
      </c>
    </row>
    <row r="51" spans="1:26">
      <c r="K51" s="66"/>
      <c r="M51" s="146">
        <v>70</v>
      </c>
      <c r="N51" s="200">
        <v>2.44</v>
      </c>
      <c r="O51" s="200">
        <v>1.708</v>
      </c>
    </row>
    <row r="52" spans="1:26">
      <c r="K52" s="66"/>
      <c r="M52" s="146">
        <v>127</v>
      </c>
      <c r="N52" s="200">
        <v>1.88</v>
      </c>
      <c r="O52" s="200">
        <v>1.3159999999999998</v>
      </c>
    </row>
    <row r="53" spans="1:26">
      <c r="K53" s="66"/>
      <c r="M53" s="146">
        <v>163</v>
      </c>
      <c r="N53" s="200">
        <v>1.6</v>
      </c>
      <c r="O53" s="200">
        <v>1.1199999999999999</v>
      </c>
    </row>
    <row r="54" spans="1:26">
      <c r="M54" s="146">
        <v>325</v>
      </c>
      <c r="N54" s="200">
        <v>1.34</v>
      </c>
      <c r="O54" s="200">
        <v>0.93799999999999994</v>
      </c>
    </row>
    <row r="55" spans="1:26">
      <c r="M55" s="146">
        <v>373</v>
      </c>
      <c r="N55" s="200">
        <v>1.33</v>
      </c>
      <c r="O55" s="200">
        <v>0.93099999999999994</v>
      </c>
    </row>
    <row r="56" spans="1:26">
      <c r="M56" s="148" t="s">
        <v>344</v>
      </c>
      <c r="N56" s="148"/>
      <c r="O56" s="148"/>
    </row>
    <row r="57" spans="1:26">
      <c r="M57" s="148"/>
      <c r="N57" s="148"/>
      <c r="O57" s="148"/>
    </row>
    <row r="58" spans="1:26">
      <c r="M58" s="148"/>
      <c r="N58" s="148"/>
      <c r="O58" s="148"/>
    </row>
    <row r="59" spans="1:26" ht="21">
      <c r="A59" s="205" t="s">
        <v>426</v>
      </c>
      <c r="G59">
        <v>65</v>
      </c>
      <c r="K59">
        <v>180</v>
      </c>
      <c r="L59">
        <f>ROUND(K59*SQRT(2),0)</f>
        <v>255</v>
      </c>
      <c r="O59">
        <v>230</v>
      </c>
      <c r="P59">
        <f>ROUND(O59*SQRT(2),0)</f>
        <v>325</v>
      </c>
      <c r="S59">
        <v>264</v>
      </c>
      <c r="T59">
        <f>ROUND(S59*SQRT(2),0)</f>
        <v>373</v>
      </c>
      <c r="W59">
        <v>275</v>
      </c>
      <c r="X59">
        <f>ROUND(W59*SQRT(2),0)</f>
        <v>389</v>
      </c>
    </row>
    <row r="60" spans="1:26" s="108" customFormat="1" ht="16.2" customHeight="1">
      <c r="A60" s="245" t="s">
        <v>4</v>
      </c>
      <c r="B60" s="247" t="s">
        <v>27</v>
      </c>
      <c r="C60" s="245" t="s">
        <v>33</v>
      </c>
      <c r="D60" s="245" t="s">
        <v>26</v>
      </c>
      <c r="E60" s="174" t="s">
        <v>2</v>
      </c>
      <c r="F60" s="175"/>
      <c r="G60" s="249" t="str">
        <f>CONCATENATE("VBULK_Min, ", TEXT(G59,0), "VDC")</f>
        <v>VBULK_Min, 65VDC</v>
      </c>
      <c r="H60" s="250"/>
      <c r="I60" s="250"/>
      <c r="J60" s="251"/>
      <c r="K60" s="249" t="str">
        <f>CONCATENATE("Peak at ", TEXT(K59,0),"VAC ")</f>
        <v xml:space="preserve">Peak at 180VAC </v>
      </c>
      <c r="L60" s="250"/>
      <c r="M60" s="250"/>
      <c r="N60" s="251"/>
      <c r="O60" s="249" t="str">
        <f>CONCATENATE("Peak at ", TEXT(O59,0),"VAC ")</f>
        <v xml:space="preserve">Peak at 230VAC </v>
      </c>
      <c r="P60" s="250"/>
      <c r="Q60" s="250"/>
      <c r="R60" s="251"/>
      <c r="S60" s="249" t="str">
        <f>CONCATENATE("Peak at ", TEXT(S59,0),"VAC ")</f>
        <v xml:space="preserve">Peak at 264VAC </v>
      </c>
      <c r="T60" s="250"/>
      <c r="U60" s="250"/>
      <c r="V60" s="251"/>
      <c r="W60" s="249" t="str">
        <f>CONCATENATE("Peak at ", TEXT(W59,0),"VAC ")</f>
        <v xml:space="preserve">Peak at 275VAC </v>
      </c>
      <c r="X60" s="250"/>
      <c r="Y60" s="250"/>
      <c r="Z60" s="251"/>
    </row>
    <row r="61" spans="1:26" s="108" customFormat="1" ht="55.2">
      <c r="A61" s="246"/>
      <c r="B61" s="248"/>
      <c r="C61" s="246"/>
      <c r="D61" s="246"/>
      <c r="E61" s="149" t="s">
        <v>359</v>
      </c>
      <c r="F61" s="149" t="s">
        <v>363</v>
      </c>
      <c r="G61" s="149" t="s">
        <v>3</v>
      </c>
      <c r="H61" s="149" t="s">
        <v>362</v>
      </c>
      <c r="I61" s="149" t="s">
        <v>361</v>
      </c>
      <c r="J61" s="149" t="s">
        <v>360</v>
      </c>
      <c r="K61" s="149" t="s">
        <v>3</v>
      </c>
      <c r="L61" s="149" t="s">
        <v>362</v>
      </c>
      <c r="M61" s="149" t="s">
        <v>361</v>
      </c>
      <c r="N61" s="149" t="s">
        <v>360</v>
      </c>
      <c r="O61" s="149" t="s">
        <v>3</v>
      </c>
      <c r="P61" s="149" t="s">
        <v>362</v>
      </c>
      <c r="Q61" s="149" t="s">
        <v>361</v>
      </c>
      <c r="R61" s="149" t="s">
        <v>360</v>
      </c>
      <c r="S61" s="149" t="s">
        <v>3</v>
      </c>
      <c r="T61" s="149" t="s">
        <v>362</v>
      </c>
      <c r="U61" s="149" t="s">
        <v>361</v>
      </c>
      <c r="V61" s="149" t="s">
        <v>360</v>
      </c>
      <c r="W61" s="149" t="s">
        <v>3</v>
      </c>
      <c r="X61" s="149" t="s">
        <v>362</v>
      </c>
      <c r="Y61" s="149" t="s">
        <v>361</v>
      </c>
      <c r="Z61" s="149" t="s">
        <v>360</v>
      </c>
    </row>
    <row r="62" spans="1:26" s="108" customFormat="1">
      <c r="A62" s="150">
        <v>0.6</v>
      </c>
      <c r="B62" s="151">
        <f>1*(MIN($A62*$B$16,$E$16)-$E$23)/$E$3</f>
        <v>0.51491162713940397</v>
      </c>
      <c r="C62" s="152">
        <f>IF($A62&lt;$A$13,$H$13,IF($A62&gt;$B$13,$F$13,$F$13*($G$13-(($A62-$A$13)*($G$13-1)/($B$13-$A$13)))))</f>
        <v>54.742857142857147</v>
      </c>
      <c r="D62" s="152">
        <f>$C62+$E$13</f>
        <v>55.042857142857144</v>
      </c>
      <c r="E62" s="153">
        <f>IF(1*1000/(D62+$I$6+$I$13)&lt;$J$13,$J$13,1*1000/(D62+$I$6+$I$13))</f>
        <v>22</v>
      </c>
      <c r="F62" s="154">
        <f t="shared" ref="F62:F93" si="1">(0.5*Lm*$B62*$B62*$E62*0.001)</f>
        <v>0.69995371713524024</v>
      </c>
      <c r="G62" s="155">
        <f>IF(1000/($D62+$I$6+$I$13)&lt;$J$13,$J$13,1000/($D62+$I$6+$I$13))</f>
        <v>22</v>
      </c>
      <c r="H62" s="155">
        <f>$I$6+Tdead+$J$6+$B62*Lm/$C$6+$K$6+$B62*Lm/VOR+$L$6</f>
        <v>7.340756437062681</v>
      </c>
      <c r="I62" s="206">
        <f t="shared" ref="I62:I93" si="2">MIN(G62,1000/H62)</f>
        <v>22</v>
      </c>
      <c r="J62" s="206">
        <f>0.5*$A$3*$B62*$B62*I62*0.001</f>
        <v>0.69995371713524024</v>
      </c>
      <c r="K62" s="155">
        <f t="shared" ref="K62:K93" si="3">IF(1000/($D62+$I$7+$I$13)&lt;$J$13,$J$13,1000/($D62+$I$7+$I$13))</f>
        <v>22</v>
      </c>
      <c r="L62" s="155">
        <f t="shared" ref="L62:L93" si="4">$I$9+Tdead+$J$9+$B62*Lm/L$59+$K$9+$B62*Lm/VOR+$L$9</f>
        <v>5.125798123503265</v>
      </c>
      <c r="M62" s="208">
        <f t="shared" ref="M62:M93" si="5">MIN(K62,1000/L62)</f>
        <v>22</v>
      </c>
      <c r="N62" s="208">
        <f>0.5*$A$3*$B62*$B62*M62*0.001</f>
        <v>0.69995371713524024</v>
      </c>
      <c r="O62" s="155">
        <f t="shared" ref="O62:O93" si="6">IF(1000/($D62+$I$8+$I$13)&lt;$J$13,$J$13,1000/($D62+$I$8+$I$13))</f>
        <v>22</v>
      </c>
      <c r="P62" s="155">
        <f t="shared" ref="P62:P93" si="7">$I$9+Tdead+$J$9+$B62*Lm/P$59+$K$9+$B62*Lm/VOR+$L$9</f>
        <v>5.0214178479564531</v>
      </c>
      <c r="Q62" s="208">
        <f t="shared" ref="Q62:Q93" si="8">MIN(O62,1000/P62)</f>
        <v>22</v>
      </c>
      <c r="R62" s="208">
        <f>0.5*$A$3*$B62*$B62*Q62*0.001</f>
        <v>0.69995371713524024</v>
      </c>
      <c r="S62" s="155">
        <f t="shared" ref="S62:S93" si="9">IF((1000/($D62+$I$9+$I$13))&lt;$J$13,$J$13,1000/($D62+$I$9+$I$13))</f>
        <v>22</v>
      </c>
      <c r="T62" s="155">
        <f t="shared" ref="T62:T93" si="10">$I$10+Tdead+$J$10+$B62*Lm/T$59+$K$10+$B62*Lm/VOR+$L$10</f>
        <v>5.0195543562904117</v>
      </c>
      <c r="U62" s="208">
        <f t="shared" ref="U62:U93" si="11">MIN(S62,1000/T62)</f>
        <v>22</v>
      </c>
      <c r="V62" s="208">
        <f>0.5*$A$3*$B62*$B62*U62*0.001</f>
        <v>0.69995371713524024</v>
      </c>
      <c r="W62" s="155">
        <f t="shared" ref="W62:W93" si="12">IF(1000/($D62+$I$10+$I$13)&lt;$J$13,$J$13,1000/($D62+$I$10+$I$13))</f>
        <v>22</v>
      </c>
      <c r="X62" s="155">
        <f t="shared" ref="X62:X125" si="13">$I$10+Tdead+$J$10+$B62*Lm/$C$10+$K$10+$B62*Lm/VOR+$L$10</f>
        <v>5.0192416561976749</v>
      </c>
      <c r="Y62" s="208">
        <f t="shared" ref="Y62:Y93" si="14">MIN(W62,1000/X62)</f>
        <v>22</v>
      </c>
      <c r="Z62" s="208">
        <f>0.5*$A$3*$B62*$B62*Y62*0.001</f>
        <v>0.69995371713524024</v>
      </c>
    </row>
    <row r="63" spans="1:26" s="108" customFormat="1">
      <c r="A63" s="150">
        <v>0.7</v>
      </c>
      <c r="B63" s="151">
        <f>1*(MIN($A63*$B$16,$E$16)-$E$23)/$E$3</f>
        <v>0.61295084282567847</v>
      </c>
      <c r="C63" s="152">
        <f t="shared" ref="C63:C126" si="15">IF($A63&lt;$A$13,$H$13,IF($A63&gt;$B$13,$F$13,$F$13*($G$13-(($A63-$A$13)*($G$13-1)/($B$13-$A$13)))))</f>
        <v>54.742857142857147</v>
      </c>
      <c r="D63" s="152">
        <f t="shared" ref="D63:D206" si="16">$C63+$E$13</f>
        <v>55.042857142857144</v>
      </c>
      <c r="E63" s="153">
        <f t="shared" ref="E63:E126" si="17">IF(1*1000/(D63+$I$6+$I$13)&lt;$J$13,$J$13,1*1000/(D63+$I$6+$I$13))</f>
        <v>22</v>
      </c>
      <c r="F63" s="154">
        <f t="shared" si="1"/>
        <v>0.99187106230267319</v>
      </c>
      <c r="G63" s="155">
        <f t="shared" ref="G63:G94" si="18">IF(1000/($D63+$I$10+$I$13)&lt;$J$13,$J$13,1000/($D63+$I$10+$I$13))</f>
        <v>22</v>
      </c>
      <c r="H63" s="155">
        <f t="shared" ref="H63:H93" si="19">$I$6+Tdead+$J$6+$B63*Lm/$C$6+$K$6+$B63*Lm/VOR+$L$6</f>
        <v>7.8837428624020482</v>
      </c>
      <c r="I63" s="206">
        <f t="shared" si="2"/>
        <v>22</v>
      </c>
      <c r="J63" s="206">
        <f t="shared" ref="J63:J126" si="20">0.5*$A$3*$B63*$B63*I63*0.001</f>
        <v>0.99187106230267319</v>
      </c>
      <c r="K63" s="155">
        <f t="shared" si="3"/>
        <v>22</v>
      </c>
      <c r="L63" s="155">
        <f t="shared" si="4"/>
        <v>5.399065801615234</v>
      </c>
      <c r="M63" s="208">
        <f t="shared" si="5"/>
        <v>22</v>
      </c>
      <c r="N63" s="208">
        <f t="shared" ref="N63:N126" si="21">0.5*$A$3*$B63*$B63*M63*0.001</f>
        <v>0.99187106230267319</v>
      </c>
      <c r="O63" s="155">
        <f t="shared" si="6"/>
        <v>22</v>
      </c>
      <c r="P63" s="155">
        <f t="shared" si="7"/>
        <v>5.2748115131148241</v>
      </c>
      <c r="Q63" s="208">
        <f t="shared" si="8"/>
        <v>22</v>
      </c>
      <c r="R63" s="208">
        <f t="shared" ref="R63:R126" si="22">0.5*$A$3*$B63*$B63*Q63*0.001</f>
        <v>0.99187106230267319</v>
      </c>
      <c r="S63" s="155">
        <f t="shared" si="9"/>
        <v>22</v>
      </c>
      <c r="T63" s="155">
        <f t="shared" si="10"/>
        <v>5.263631364284783</v>
      </c>
      <c r="U63" s="208">
        <f t="shared" si="11"/>
        <v>22</v>
      </c>
      <c r="V63" s="208">
        <f t="shared" ref="V63:V126" si="23">0.5*$A$3*$B63*$B63*U63*0.001</f>
        <v>0.99187106230267319</v>
      </c>
      <c r="W63" s="155">
        <f t="shared" si="12"/>
        <v>22</v>
      </c>
      <c r="X63" s="155">
        <f t="shared" si="13"/>
        <v>5.2632591260689567</v>
      </c>
      <c r="Y63" s="208">
        <f t="shared" si="14"/>
        <v>22</v>
      </c>
      <c r="Z63" s="208">
        <f t="shared" ref="Z63:Z126" si="24">0.5*$A$3*$B63*$B63*Y63*0.001</f>
        <v>0.99187106230267319</v>
      </c>
    </row>
    <row r="64" spans="1:26" s="108" customFormat="1">
      <c r="A64" s="150">
        <v>0.8</v>
      </c>
      <c r="B64" s="151">
        <f t="shared" ref="B64:B127" si="25">1*(MIN($A64*$B$16,$E$16)-$E$23)/$E$3</f>
        <v>0.71099005851195296</v>
      </c>
      <c r="C64" s="152">
        <f t="shared" si="15"/>
        <v>54.742857142857147</v>
      </c>
      <c r="D64" s="152">
        <f t="shared" si="16"/>
        <v>55.042857142857144</v>
      </c>
      <c r="E64" s="153">
        <f t="shared" si="17"/>
        <v>22</v>
      </c>
      <c r="F64" s="154">
        <f t="shared" si="1"/>
        <v>1.3345381191194721</v>
      </c>
      <c r="G64" s="155">
        <f t="shared" si="18"/>
        <v>22</v>
      </c>
      <c r="H64" s="155">
        <f t="shared" si="19"/>
        <v>8.4267292877414146</v>
      </c>
      <c r="I64" s="206">
        <f t="shared" si="2"/>
        <v>22</v>
      </c>
      <c r="J64" s="206">
        <f t="shared" si="20"/>
        <v>1.3345381191194721</v>
      </c>
      <c r="K64" s="155">
        <f t="shared" si="3"/>
        <v>22</v>
      </c>
      <c r="L64" s="155">
        <f t="shared" si="4"/>
        <v>5.672333479727202</v>
      </c>
      <c r="M64" s="208">
        <f t="shared" si="5"/>
        <v>22</v>
      </c>
      <c r="N64" s="208">
        <f t="shared" si="21"/>
        <v>1.3345381191194721</v>
      </c>
      <c r="O64" s="155">
        <f t="shared" si="6"/>
        <v>22</v>
      </c>
      <c r="P64" s="155">
        <f t="shared" si="7"/>
        <v>5.5282051782731951</v>
      </c>
      <c r="Q64" s="208">
        <f t="shared" si="8"/>
        <v>22</v>
      </c>
      <c r="R64" s="208">
        <f t="shared" si="22"/>
        <v>1.3345381191194721</v>
      </c>
      <c r="S64" s="155">
        <f t="shared" si="9"/>
        <v>22</v>
      </c>
      <c r="T64" s="155">
        <f t="shared" si="10"/>
        <v>5.5077083722791542</v>
      </c>
      <c r="U64" s="208">
        <f t="shared" si="11"/>
        <v>22</v>
      </c>
      <c r="V64" s="208">
        <f t="shared" si="23"/>
        <v>1.3345381191194721</v>
      </c>
      <c r="W64" s="155">
        <f t="shared" si="12"/>
        <v>22</v>
      </c>
      <c r="X64" s="155">
        <f t="shared" si="13"/>
        <v>5.5072765959402377</v>
      </c>
      <c r="Y64" s="208">
        <f t="shared" si="14"/>
        <v>22</v>
      </c>
      <c r="Z64" s="208">
        <f t="shared" si="24"/>
        <v>1.3345381191194721</v>
      </c>
    </row>
    <row r="65" spans="1:26" s="108" customFormat="1">
      <c r="A65" s="150">
        <v>0.9</v>
      </c>
      <c r="B65" s="151">
        <f t="shared" si="25"/>
        <v>0.80902927419822745</v>
      </c>
      <c r="C65" s="152">
        <f t="shared" si="15"/>
        <v>54.742857142857147</v>
      </c>
      <c r="D65" s="152">
        <f t="shared" si="16"/>
        <v>55.042857142857144</v>
      </c>
      <c r="E65" s="153">
        <f t="shared" si="17"/>
        <v>22</v>
      </c>
      <c r="F65" s="154">
        <f t="shared" si="1"/>
        <v>1.7279548875856363</v>
      </c>
      <c r="G65" s="155">
        <f t="shared" si="18"/>
        <v>22</v>
      </c>
      <c r="H65" s="155">
        <f t="shared" si="19"/>
        <v>8.969715713080781</v>
      </c>
      <c r="I65" s="206">
        <f t="shared" si="2"/>
        <v>22</v>
      </c>
      <c r="J65" s="206">
        <f t="shared" si="20"/>
        <v>1.7279548875856363</v>
      </c>
      <c r="K65" s="155">
        <f t="shared" si="3"/>
        <v>22</v>
      </c>
      <c r="L65" s="155">
        <f t="shared" si="4"/>
        <v>5.945601157839171</v>
      </c>
      <c r="M65" s="208">
        <f t="shared" si="5"/>
        <v>22</v>
      </c>
      <c r="N65" s="208">
        <f t="shared" si="21"/>
        <v>1.7279548875856363</v>
      </c>
      <c r="O65" s="155">
        <f t="shared" si="6"/>
        <v>22</v>
      </c>
      <c r="P65" s="155">
        <f t="shared" si="7"/>
        <v>5.7815988434315662</v>
      </c>
      <c r="Q65" s="208">
        <f t="shared" si="8"/>
        <v>22</v>
      </c>
      <c r="R65" s="208">
        <f t="shared" si="22"/>
        <v>1.7279548875856363</v>
      </c>
      <c r="S65" s="155">
        <f t="shared" si="9"/>
        <v>22</v>
      </c>
      <c r="T65" s="155">
        <f t="shared" si="10"/>
        <v>5.7517853802735255</v>
      </c>
      <c r="U65" s="208">
        <f t="shared" si="11"/>
        <v>22</v>
      </c>
      <c r="V65" s="208">
        <f t="shared" si="23"/>
        <v>1.7279548875856363</v>
      </c>
      <c r="W65" s="155">
        <f t="shared" si="12"/>
        <v>22</v>
      </c>
      <c r="X65" s="155">
        <f t="shared" si="13"/>
        <v>5.7512940658115195</v>
      </c>
      <c r="Y65" s="208">
        <f t="shared" si="14"/>
        <v>22</v>
      </c>
      <c r="Z65" s="208">
        <f t="shared" si="24"/>
        <v>1.7279548875856363</v>
      </c>
    </row>
    <row r="66" spans="1:26" s="108" customFormat="1">
      <c r="A66" s="150">
        <v>0.91</v>
      </c>
      <c r="B66" s="151">
        <f t="shared" si="25"/>
        <v>0.81883319576685498</v>
      </c>
      <c r="C66" s="152">
        <f t="shared" si="15"/>
        <v>54.742857142857147</v>
      </c>
      <c r="D66" s="152">
        <f t="shared" si="16"/>
        <v>55.042857142857144</v>
      </c>
      <c r="E66" s="153">
        <f t="shared" si="17"/>
        <v>22</v>
      </c>
      <c r="F66" s="154">
        <f t="shared" si="1"/>
        <v>1.7700877985729682</v>
      </c>
      <c r="G66" s="155">
        <f t="shared" si="18"/>
        <v>22</v>
      </c>
      <c r="H66" s="155">
        <f t="shared" si="19"/>
        <v>9.0240143556147174</v>
      </c>
      <c r="I66" s="206">
        <f t="shared" si="2"/>
        <v>22</v>
      </c>
      <c r="J66" s="206">
        <f t="shared" si="20"/>
        <v>1.7700877985729682</v>
      </c>
      <c r="K66" s="155">
        <f t="shared" si="3"/>
        <v>22</v>
      </c>
      <c r="L66" s="155">
        <f t="shared" si="4"/>
        <v>5.9729279256503682</v>
      </c>
      <c r="M66" s="208">
        <f t="shared" si="5"/>
        <v>22</v>
      </c>
      <c r="N66" s="208">
        <f t="shared" si="21"/>
        <v>1.7700877985729682</v>
      </c>
      <c r="O66" s="155">
        <f t="shared" si="6"/>
        <v>22</v>
      </c>
      <c r="P66" s="155">
        <f t="shared" si="7"/>
        <v>5.8069382099474041</v>
      </c>
      <c r="Q66" s="208">
        <f t="shared" si="8"/>
        <v>22</v>
      </c>
      <c r="R66" s="208">
        <f t="shared" si="22"/>
        <v>1.7700877985729682</v>
      </c>
      <c r="S66" s="155">
        <f t="shared" si="9"/>
        <v>22</v>
      </c>
      <c r="T66" s="155">
        <f t="shared" si="10"/>
        <v>5.7761930810729627</v>
      </c>
      <c r="U66" s="208">
        <f t="shared" si="11"/>
        <v>22</v>
      </c>
      <c r="V66" s="208">
        <f t="shared" si="23"/>
        <v>1.7700877985729682</v>
      </c>
      <c r="W66" s="155">
        <f t="shared" si="12"/>
        <v>22</v>
      </c>
      <c r="X66" s="155">
        <f t="shared" si="13"/>
        <v>5.7756958127986477</v>
      </c>
      <c r="Y66" s="208">
        <f t="shared" si="14"/>
        <v>22</v>
      </c>
      <c r="Z66" s="208">
        <f t="shared" si="24"/>
        <v>1.7700877985729682</v>
      </c>
    </row>
    <row r="67" spans="1:26" s="108" customFormat="1">
      <c r="A67" s="150">
        <v>0.92</v>
      </c>
      <c r="B67" s="151">
        <f t="shared" si="25"/>
        <v>0.82863711733548229</v>
      </c>
      <c r="C67" s="152">
        <f t="shared" si="15"/>
        <v>54.742857142857147</v>
      </c>
      <c r="D67" s="152">
        <f t="shared" si="16"/>
        <v>55.042857142857144</v>
      </c>
      <c r="E67" s="153">
        <f t="shared" si="17"/>
        <v>22</v>
      </c>
      <c r="F67" s="154">
        <f t="shared" si="1"/>
        <v>1.8127282066767927</v>
      </c>
      <c r="G67" s="155">
        <f t="shared" si="18"/>
        <v>22</v>
      </c>
      <c r="H67" s="155">
        <f t="shared" si="19"/>
        <v>9.0783129981486539</v>
      </c>
      <c r="I67" s="206">
        <f t="shared" si="2"/>
        <v>22</v>
      </c>
      <c r="J67" s="206">
        <f t="shared" si="20"/>
        <v>1.8127282066767927</v>
      </c>
      <c r="K67" s="155">
        <f t="shared" si="3"/>
        <v>22</v>
      </c>
      <c r="L67" s="155">
        <f t="shared" si="4"/>
        <v>6.0002546934615646</v>
      </c>
      <c r="M67" s="208">
        <f t="shared" si="5"/>
        <v>22</v>
      </c>
      <c r="N67" s="208">
        <f t="shared" si="21"/>
        <v>1.8127282066767927</v>
      </c>
      <c r="O67" s="155">
        <f t="shared" si="6"/>
        <v>22</v>
      </c>
      <c r="P67" s="155">
        <f t="shared" si="7"/>
        <v>5.8322775764632402</v>
      </c>
      <c r="Q67" s="208">
        <f t="shared" si="8"/>
        <v>22</v>
      </c>
      <c r="R67" s="208">
        <f t="shared" si="22"/>
        <v>1.8127282066767927</v>
      </c>
      <c r="S67" s="155">
        <f t="shared" si="9"/>
        <v>22</v>
      </c>
      <c r="T67" s="155">
        <f t="shared" si="10"/>
        <v>5.8006007818723999</v>
      </c>
      <c r="U67" s="208">
        <f t="shared" si="11"/>
        <v>22</v>
      </c>
      <c r="V67" s="208">
        <f t="shared" si="23"/>
        <v>1.8127282066767927</v>
      </c>
      <c r="W67" s="155">
        <f t="shared" si="12"/>
        <v>22</v>
      </c>
      <c r="X67" s="155">
        <f t="shared" si="13"/>
        <v>5.8000975597857751</v>
      </c>
      <c r="Y67" s="208">
        <f t="shared" si="14"/>
        <v>22</v>
      </c>
      <c r="Z67" s="208">
        <f t="shared" si="24"/>
        <v>1.8127282066767927</v>
      </c>
    </row>
    <row r="68" spans="1:26" s="108" customFormat="1">
      <c r="A68" s="150">
        <v>0.93</v>
      </c>
      <c r="B68" s="151">
        <f t="shared" si="25"/>
        <v>0.83844103890410981</v>
      </c>
      <c r="C68" s="152">
        <f t="shared" si="15"/>
        <v>54.742857142857147</v>
      </c>
      <c r="D68" s="152">
        <f t="shared" si="16"/>
        <v>55.042857142857144</v>
      </c>
      <c r="E68" s="153">
        <f t="shared" si="17"/>
        <v>22</v>
      </c>
      <c r="F68" s="154">
        <f t="shared" si="1"/>
        <v>1.8558761118971119</v>
      </c>
      <c r="G68" s="155">
        <f t="shared" si="18"/>
        <v>22</v>
      </c>
      <c r="H68" s="155">
        <f t="shared" si="19"/>
        <v>9.1326116406825903</v>
      </c>
      <c r="I68" s="206">
        <f t="shared" si="2"/>
        <v>22</v>
      </c>
      <c r="J68" s="206">
        <f t="shared" si="20"/>
        <v>1.8558761118971119</v>
      </c>
      <c r="K68" s="155">
        <f t="shared" si="3"/>
        <v>22</v>
      </c>
      <c r="L68" s="155">
        <f t="shared" si="4"/>
        <v>6.0275814612727618</v>
      </c>
      <c r="M68" s="208">
        <f t="shared" si="5"/>
        <v>22</v>
      </c>
      <c r="N68" s="208">
        <f t="shared" si="21"/>
        <v>1.8558761118971119</v>
      </c>
      <c r="O68" s="155">
        <f t="shared" si="6"/>
        <v>22</v>
      </c>
      <c r="P68" s="155">
        <f t="shared" si="7"/>
        <v>5.8576169429790781</v>
      </c>
      <c r="Q68" s="208">
        <f t="shared" si="8"/>
        <v>22</v>
      </c>
      <c r="R68" s="208">
        <f t="shared" si="22"/>
        <v>1.8558761118971119</v>
      </c>
      <c r="S68" s="155">
        <f t="shared" si="9"/>
        <v>22</v>
      </c>
      <c r="T68" s="155">
        <f t="shared" si="10"/>
        <v>5.8250084826718371</v>
      </c>
      <c r="U68" s="208">
        <f t="shared" si="11"/>
        <v>22</v>
      </c>
      <c r="V68" s="208">
        <f t="shared" si="23"/>
        <v>1.8558761118971119</v>
      </c>
      <c r="W68" s="155">
        <f t="shared" si="12"/>
        <v>22</v>
      </c>
      <c r="X68" s="155">
        <f t="shared" si="13"/>
        <v>5.8244993067729043</v>
      </c>
      <c r="Y68" s="208">
        <f t="shared" si="14"/>
        <v>22</v>
      </c>
      <c r="Z68" s="208">
        <f t="shared" si="24"/>
        <v>1.8558761118971119</v>
      </c>
    </row>
    <row r="69" spans="1:26" s="108" customFormat="1">
      <c r="A69" s="150">
        <v>0.94</v>
      </c>
      <c r="B69" s="151">
        <f t="shared" si="25"/>
        <v>0.84824496047273723</v>
      </c>
      <c r="C69" s="152">
        <f t="shared" si="15"/>
        <v>54.742857142857147</v>
      </c>
      <c r="D69" s="152">
        <f t="shared" si="16"/>
        <v>55.042857142857144</v>
      </c>
      <c r="E69" s="153">
        <f t="shared" si="17"/>
        <v>22</v>
      </c>
      <c r="F69" s="154">
        <f t="shared" si="1"/>
        <v>1.8995315142339242</v>
      </c>
      <c r="G69" s="155">
        <f t="shared" si="18"/>
        <v>22</v>
      </c>
      <c r="H69" s="155">
        <f t="shared" si="19"/>
        <v>9.1869102832165268</v>
      </c>
      <c r="I69" s="206">
        <f t="shared" si="2"/>
        <v>22</v>
      </c>
      <c r="J69" s="206">
        <f t="shared" si="20"/>
        <v>1.8995315142339242</v>
      </c>
      <c r="K69" s="155">
        <f t="shared" si="3"/>
        <v>22</v>
      </c>
      <c r="L69" s="155">
        <f t="shared" si="4"/>
        <v>6.0549082290839582</v>
      </c>
      <c r="M69" s="208">
        <f t="shared" si="5"/>
        <v>22</v>
      </c>
      <c r="N69" s="208">
        <f t="shared" si="21"/>
        <v>1.8995315142339242</v>
      </c>
      <c r="O69" s="155">
        <f t="shared" si="6"/>
        <v>22</v>
      </c>
      <c r="P69" s="155">
        <f t="shared" si="7"/>
        <v>5.8829563094949151</v>
      </c>
      <c r="Q69" s="208">
        <f t="shared" si="8"/>
        <v>22</v>
      </c>
      <c r="R69" s="208">
        <f t="shared" si="22"/>
        <v>1.8995315142339242</v>
      </c>
      <c r="S69" s="155">
        <f t="shared" si="9"/>
        <v>22</v>
      </c>
      <c r="T69" s="155">
        <f t="shared" si="10"/>
        <v>5.8494161834712735</v>
      </c>
      <c r="U69" s="208">
        <f t="shared" si="11"/>
        <v>22</v>
      </c>
      <c r="V69" s="208">
        <f t="shared" si="23"/>
        <v>1.8995315142339242</v>
      </c>
      <c r="W69" s="155">
        <f t="shared" si="12"/>
        <v>22</v>
      </c>
      <c r="X69" s="155">
        <f t="shared" si="13"/>
        <v>5.8489010537600317</v>
      </c>
      <c r="Y69" s="208">
        <f t="shared" si="14"/>
        <v>22</v>
      </c>
      <c r="Z69" s="208">
        <f t="shared" si="24"/>
        <v>1.8995315142339242</v>
      </c>
    </row>
    <row r="70" spans="1:26" s="108" customFormat="1">
      <c r="A70" s="150">
        <v>0.95</v>
      </c>
      <c r="B70" s="151">
        <f t="shared" si="25"/>
        <v>0.85804888204136476</v>
      </c>
      <c r="C70" s="152">
        <f t="shared" si="15"/>
        <v>54.742857142857147</v>
      </c>
      <c r="D70" s="152">
        <f t="shared" si="16"/>
        <v>55.042857142857144</v>
      </c>
      <c r="E70" s="153">
        <f t="shared" si="17"/>
        <v>22</v>
      </c>
      <c r="F70" s="154">
        <f t="shared" si="1"/>
        <v>1.9436944136872309</v>
      </c>
      <c r="G70" s="155">
        <f t="shared" si="18"/>
        <v>22</v>
      </c>
      <c r="H70" s="155">
        <f t="shared" si="19"/>
        <v>9.241208925750465</v>
      </c>
      <c r="I70" s="206">
        <f t="shared" si="2"/>
        <v>22</v>
      </c>
      <c r="J70" s="206">
        <f t="shared" si="20"/>
        <v>1.9436944136872309</v>
      </c>
      <c r="K70" s="155">
        <f t="shared" si="3"/>
        <v>22</v>
      </c>
      <c r="L70" s="155">
        <f t="shared" si="4"/>
        <v>6.0822349968951555</v>
      </c>
      <c r="M70" s="208">
        <f t="shared" si="5"/>
        <v>22</v>
      </c>
      <c r="N70" s="208">
        <f t="shared" si="21"/>
        <v>1.9436944136872309</v>
      </c>
      <c r="O70" s="155">
        <f t="shared" si="6"/>
        <v>22</v>
      </c>
      <c r="P70" s="155">
        <f t="shared" si="7"/>
        <v>5.9082956760107521</v>
      </c>
      <c r="Q70" s="208">
        <f t="shared" si="8"/>
        <v>22</v>
      </c>
      <c r="R70" s="208">
        <f t="shared" si="22"/>
        <v>1.9436944136872309</v>
      </c>
      <c r="S70" s="155">
        <f t="shared" si="9"/>
        <v>22</v>
      </c>
      <c r="T70" s="155">
        <f t="shared" si="10"/>
        <v>5.8738238842707107</v>
      </c>
      <c r="U70" s="208">
        <f t="shared" si="11"/>
        <v>22</v>
      </c>
      <c r="V70" s="208">
        <f t="shared" si="23"/>
        <v>1.9436944136872309</v>
      </c>
      <c r="W70" s="155">
        <f t="shared" si="12"/>
        <v>22</v>
      </c>
      <c r="X70" s="155">
        <f t="shared" si="13"/>
        <v>5.8733028007471608</v>
      </c>
      <c r="Y70" s="208">
        <f t="shared" si="14"/>
        <v>22</v>
      </c>
      <c r="Z70" s="208">
        <f t="shared" si="24"/>
        <v>1.9436944136872309</v>
      </c>
    </row>
    <row r="71" spans="1:26" s="108" customFormat="1">
      <c r="A71" s="150">
        <v>0.96</v>
      </c>
      <c r="B71" s="151">
        <f t="shared" si="25"/>
        <v>0.86785280360999206</v>
      </c>
      <c r="C71" s="152">
        <f t="shared" si="15"/>
        <v>54.742857142857147</v>
      </c>
      <c r="D71" s="152">
        <f t="shared" si="16"/>
        <v>55.042857142857144</v>
      </c>
      <c r="E71" s="153">
        <f t="shared" si="17"/>
        <v>22</v>
      </c>
      <c r="F71" s="154">
        <f t="shared" si="1"/>
        <v>1.9883648102570302</v>
      </c>
      <c r="G71" s="155">
        <f t="shared" si="18"/>
        <v>22</v>
      </c>
      <c r="H71" s="155">
        <f t="shared" si="19"/>
        <v>9.2955075682843997</v>
      </c>
      <c r="I71" s="206">
        <f t="shared" si="2"/>
        <v>22</v>
      </c>
      <c r="J71" s="206">
        <f t="shared" si="20"/>
        <v>1.9883648102570302</v>
      </c>
      <c r="K71" s="155">
        <f t="shared" si="3"/>
        <v>22</v>
      </c>
      <c r="L71" s="155">
        <f t="shared" si="4"/>
        <v>6.1095617647063518</v>
      </c>
      <c r="M71" s="208">
        <f t="shared" si="5"/>
        <v>22</v>
      </c>
      <c r="N71" s="208">
        <f t="shared" si="21"/>
        <v>1.9883648102570302</v>
      </c>
      <c r="O71" s="155">
        <f t="shared" si="6"/>
        <v>22</v>
      </c>
      <c r="P71" s="155">
        <f t="shared" si="7"/>
        <v>5.9336350425265891</v>
      </c>
      <c r="Q71" s="208">
        <f t="shared" si="8"/>
        <v>22</v>
      </c>
      <c r="R71" s="208">
        <f t="shared" si="22"/>
        <v>1.9883648102570302</v>
      </c>
      <c r="S71" s="155">
        <f t="shared" si="9"/>
        <v>22</v>
      </c>
      <c r="T71" s="155">
        <f t="shared" si="10"/>
        <v>5.8982315850701479</v>
      </c>
      <c r="U71" s="208">
        <f t="shared" si="11"/>
        <v>22</v>
      </c>
      <c r="V71" s="208">
        <f t="shared" si="23"/>
        <v>1.9883648102570302</v>
      </c>
      <c r="W71" s="155">
        <f t="shared" si="12"/>
        <v>22</v>
      </c>
      <c r="X71" s="155">
        <f t="shared" si="13"/>
        <v>5.8977045477342882</v>
      </c>
      <c r="Y71" s="208">
        <f t="shared" si="14"/>
        <v>22</v>
      </c>
      <c r="Z71" s="208">
        <f t="shared" si="24"/>
        <v>1.9883648102570302</v>
      </c>
    </row>
    <row r="72" spans="1:26" s="108" customFormat="1">
      <c r="A72" s="150">
        <v>0.97</v>
      </c>
      <c r="B72" s="151">
        <f t="shared" si="25"/>
        <v>0.87765672517861959</v>
      </c>
      <c r="C72" s="152">
        <f t="shared" si="15"/>
        <v>54.742857142857147</v>
      </c>
      <c r="D72" s="152">
        <f t="shared" si="16"/>
        <v>55.042857142857144</v>
      </c>
      <c r="E72" s="153">
        <f t="shared" si="17"/>
        <v>22</v>
      </c>
      <c r="F72" s="154">
        <f t="shared" si="1"/>
        <v>2.0335427039433238</v>
      </c>
      <c r="G72" s="155">
        <f t="shared" si="18"/>
        <v>22</v>
      </c>
      <c r="H72" s="155">
        <f t="shared" si="19"/>
        <v>9.349806210818338</v>
      </c>
      <c r="I72" s="206">
        <f t="shared" si="2"/>
        <v>22</v>
      </c>
      <c r="J72" s="206">
        <f t="shared" si="20"/>
        <v>2.0335427039433238</v>
      </c>
      <c r="K72" s="155">
        <f t="shared" si="3"/>
        <v>22</v>
      </c>
      <c r="L72" s="155">
        <f t="shared" si="4"/>
        <v>6.1368885325175491</v>
      </c>
      <c r="M72" s="208">
        <f t="shared" si="5"/>
        <v>22</v>
      </c>
      <c r="N72" s="208">
        <f t="shared" si="21"/>
        <v>2.0335427039433238</v>
      </c>
      <c r="O72" s="155">
        <f t="shared" si="6"/>
        <v>22</v>
      </c>
      <c r="P72" s="155">
        <f t="shared" si="7"/>
        <v>5.9589744090424261</v>
      </c>
      <c r="Q72" s="208">
        <f t="shared" si="8"/>
        <v>22</v>
      </c>
      <c r="R72" s="208">
        <f t="shared" si="22"/>
        <v>2.0335427039433238</v>
      </c>
      <c r="S72" s="155">
        <f t="shared" si="9"/>
        <v>22</v>
      </c>
      <c r="T72" s="155">
        <f t="shared" si="10"/>
        <v>5.9226392858695851</v>
      </c>
      <c r="U72" s="208">
        <f t="shared" si="11"/>
        <v>22</v>
      </c>
      <c r="V72" s="208">
        <f t="shared" si="23"/>
        <v>2.0335427039433238</v>
      </c>
      <c r="W72" s="155">
        <f t="shared" si="12"/>
        <v>22</v>
      </c>
      <c r="X72" s="155">
        <f t="shared" si="13"/>
        <v>5.9221062947214165</v>
      </c>
      <c r="Y72" s="208">
        <f t="shared" si="14"/>
        <v>22</v>
      </c>
      <c r="Z72" s="208">
        <f t="shared" si="24"/>
        <v>2.0335427039433238</v>
      </c>
    </row>
    <row r="73" spans="1:26" s="108" customFormat="1">
      <c r="A73" s="150">
        <v>0.98</v>
      </c>
      <c r="B73" s="151">
        <f t="shared" si="25"/>
        <v>0.88746064674724712</v>
      </c>
      <c r="C73" s="152">
        <f t="shared" si="15"/>
        <v>54.742857142857147</v>
      </c>
      <c r="D73" s="152">
        <f t="shared" si="16"/>
        <v>55.042857142857144</v>
      </c>
      <c r="E73" s="153">
        <f t="shared" si="17"/>
        <v>22</v>
      </c>
      <c r="F73" s="154">
        <f t="shared" si="1"/>
        <v>2.0792280947461115</v>
      </c>
      <c r="G73" s="155">
        <f t="shared" si="18"/>
        <v>22</v>
      </c>
      <c r="H73" s="155">
        <f t="shared" si="19"/>
        <v>9.4041048533522744</v>
      </c>
      <c r="I73" s="206">
        <f t="shared" si="2"/>
        <v>22</v>
      </c>
      <c r="J73" s="206">
        <f t="shared" si="20"/>
        <v>2.0792280947461115</v>
      </c>
      <c r="K73" s="155">
        <f t="shared" si="3"/>
        <v>22</v>
      </c>
      <c r="L73" s="155">
        <f t="shared" si="4"/>
        <v>6.1642153003287463</v>
      </c>
      <c r="M73" s="208">
        <f t="shared" si="5"/>
        <v>22</v>
      </c>
      <c r="N73" s="208">
        <f t="shared" si="21"/>
        <v>2.0792280947461115</v>
      </c>
      <c r="O73" s="155">
        <f t="shared" si="6"/>
        <v>22</v>
      </c>
      <c r="P73" s="155">
        <f t="shared" si="7"/>
        <v>5.9843137755582632</v>
      </c>
      <c r="Q73" s="208">
        <f t="shared" si="8"/>
        <v>22</v>
      </c>
      <c r="R73" s="208">
        <f t="shared" si="22"/>
        <v>2.0792280947461115</v>
      </c>
      <c r="S73" s="155">
        <f t="shared" si="9"/>
        <v>22</v>
      </c>
      <c r="T73" s="155">
        <f t="shared" si="10"/>
        <v>5.9470469866690223</v>
      </c>
      <c r="U73" s="208">
        <f t="shared" si="11"/>
        <v>22</v>
      </c>
      <c r="V73" s="208">
        <f t="shared" si="23"/>
        <v>2.0792280947461115</v>
      </c>
      <c r="W73" s="155">
        <f t="shared" si="12"/>
        <v>22</v>
      </c>
      <c r="X73" s="155">
        <f t="shared" si="13"/>
        <v>5.9465080417085447</v>
      </c>
      <c r="Y73" s="208">
        <f t="shared" si="14"/>
        <v>22</v>
      </c>
      <c r="Z73" s="208">
        <f t="shared" si="24"/>
        <v>2.0792280947461115</v>
      </c>
    </row>
    <row r="74" spans="1:26" s="108" customFormat="1">
      <c r="A74" s="150">
        <v>0.99</v>
      </c>
      <c r="B74" s="151">
        <f t="shared" si="25"/>
        <v>0.89726456831587442</v>
      </c>
      <c r="C74" s="152">
        <f t="shared" si="15"/>
        <v>54.742857142857147</v>
      </c>
      <c r="D74" s="152">
        <f t="shared" si="16"/>
        <v>55.042857142857144</v>
      </c>
      <c r="E74" s="153">
        <f t="shared" si="17"/>
        <v>22</v>
      </c>
      <c r="F74" s="154">
        <f t="shared" si="1"/>
        <v>2.1254209826653914</v>
      </c>
      <c r="G74" s="155">
        <f t="shared" si="18"/>
        <v>22</v>
      </c>
      <c r="H74" s="155">
        <f t="shared" si="19"/>
        <v>9.4584034958862109</v>
      </c>
      <c r="I74" s="206">
        <f t="shared" si="2"/>
        <v>22</v>
      </c>
      <c r="J74" s="206">
        <f t="shared" si="20"/>
        <v>2.1254209826653914</v>
      </c>
      <c r="K74" s="155">
        <f t="shared" si="3"/>
        <v>22</v>
      </c>
      <c r="L74" s="155">
        <f t="shared" si="4"/>
        <v>6.1915420681399427</v>
      </c>
      <c r="M74" s="208">
        <f t="shared" si="5"/>
        <v>22</v>
      </c>
      <c r="N74" s="208">
        <f t="shared" si="21"/>
        <v>2.1254209826653914</v>
      </c>
      <c r="O74" s="155">
        <f t="shared" si="6"/>
        <v>22</v>
      </c>
      <c r="P74" s="155">
        <f t="shared" si="7"/>
        <v>6.0096531420741002</v>
      </c>
      <c r="Q74" s="208">
        <f t="shared" si="8"/>
        <v>22</v>
      </c>
      <c r="R74" s="208">
        <f t="shared" si="22"/>
        <v>2.1254209826653914</v>
      </c>
      <c r="S74" s="155">
        <f t="shared" si="9"/>
        <v>22</v>
      </c>
      <c r="T74" s="155">
        <f t="shared" si="10"/>
        <v>5.9714546874684595</v>
      </c>
      <c r="U74" s="208">
        <f t="shared" si="11"/>
        <v>22</v>
      </c>
      <c r="V74" s="208">
        <f t="shared" si="23"/>
        <v>2.1254209826653914</v>
      </c>
      <c r="W74" s="155">
        <f t="shared" si="12"/>
        <v>22</v>
      </c>
      <c r="X74" s="155">
        <f t="shared" si="13"/>
        <v>5.9709097886956721</v>
      </c>
      <c r="Y74" s="208">
        <f t="shared" si="14"/>
        <v>22</v>
      </c>
      <c r="Z74" s="208">
        <f t="shared" si="24"/>
        <v>2.1254209826653914</v>
      </c>
    </row>
    <row r="75" spans="1:26" s="108" customFormat="1">
      <c r="A75" s="150">
        <v>1</v>
      </c>
      <c r="B75" s="151">
        <f t="shared" si="25"/>
        <v>0.90706848988450195</v>
      </c>
      <c r="C75" s="152">
        <f t="shared" si="15"/>
        <v>54.742857142857147</v>
      </c>
      <c r="D75" s="152">
        <f t="shared" si="16"/>
        <v>55.042857142857144</v>
      </c>
      <c r="E75" s="153">
        <f t="shared" si="17"/>
        <v>22</v>
      </c>
      <c r="F75" s="154">
        <f t="shared" si="1"/>
        <v>2.1721213677011662</v>
      </c>
      <c r="G75" s="155">
        <f t="shared" si="18"/>
        <v>22</v>
      </c>
      <c r="H75" s="155">
        <f t="shared" si="19"/>
        <v>9.5127021384201473</v>
      </c>
      <c r="I75" s="206">
        <f t="shared" si="2"/>
        <v>22</v>
      </c>
      <c r="J75" s="206">
        <f t="shared" si="20"/>
        <v>2.1721213677011662</v>
      </c>
      <c r="K75" s="155">
        <f t="shared" si="3"/>
        <v>22</v>
      </c>
      <c r="L75" s="155">
        <f t="shared" si="4"/>
        <v>6.2188688359511399</v>
      </c>
      <c r="M75" s="208">
        <f t="shared" si="5"/>
        <v>22</v>
      </c>
      <c r="N75" s="208">
        <f t="shared" si="21"/>
        <v>2.1721213677011662</v>
      </c>
      <c r="O75" s="155">
        <f t="shared" si="6"/>
        <v>22</v>
      </c>
      <c r="P75" s="155">
        <f t="shared" si="7"/>
        <v>6.0349925085899372</v>
      </c>
      <c r="Q75" s="208">
        <f t="shared" si="8"/>
        <v>22</v>
      </c>
      <c r="R75" s="208">
        <f t="shared" si="22"/>
        <v>2.1721213677011662</v>
      </c>
      <c r="S75" s="155">
        <f t="shared" si="9"/>
        <v>22</v>
      </c>
      <c r="T75" s="155">
        <f t="shared" si="10"/>
        <v>5.9958623882678967</v>
      </c>
      <c r="U75" s="208">
        <f t="shared" si="11"/>
        <v>22</v>
      </c>
      <c r="V75" s="208">
        <f t="shared" si="23"/>
        <v>2.1721213677011662</v>
      </c>
      <c r="W75" s="155">
        <f t="shared" si="12"/>
        <v>22</v>
      </c>
      <c r="X75" s="155">
        <f t="shared" si="13"/>
        <v>5.9953115356828013</v>
      </c>
      <c r="Y75" s="208">
        <f t="shared" si="14"/>
        <v>22</v>
      </c>
      <c r="Z75" s="208">
        <f t="shared" si="24"/>
        <v>2.1721213677011662</v>
      </c>
    </row>
    <row r="76" spans="1:26" s="108" customFormat="1">
      <c r="A76" s="150">
        <v>1.01</v>
      </c>
      <c r="B76" s="151">
        <f t="shared" si="25"/>
        <v>0.91687241145312948</v>
      </c>
      <c r="C76" s="152">
        <f t="shared" si="15"/>
        <v>54.742857142857147</v>
      </c>
      <c r="D76" s="152">
        <f t="shared" si="16"/>
        <v>55.042857142857144</v>
      </c>
      <c r="E76" s="153">
        <f t="shared" si="17"/>
        <v>22</v>
      </c>
      <c r="F76" s="154">
        <f t="shared" si="1"/>
        <v>2.2193292498534349</v>
      </c>
      <c r="G76" s="155">
        <f t="shared" si="18"/>
        <v>22</v>
      </c>
      <c r="H76" s="155">
        <f t="shared" si="19"/>
        <v>9.5670007809540838</v>
      </c>
      <c r="I76" s="206">
        <f t="shared" si="2"/>
        <v>22</v>
      </c>
      <c r="J76" s="206">
        <f t="shared" si="20"/>
        <v>2.2193292498534349</v>
      </c>
      <c r="K76" s="155">
        <f t="shared" si="3"/>
        <v>22</v>
      </c>
      <c r="L76" s="155">
        <f t="shared" si="4"/>
        <v>6.2461956037623372</v>
      </c>
      <c r="M76" s="208">
        <f t="shared" si="5"/>
        <v>22</v>
      </c>
      <c r="N76" s="208">
        <f t="shared" si="21"/>
        <v>2.2193292498534349</v>
      </c>
      <c r="O76" s="155">
        <f t="shared" si="6"/>
        <v>22</v>
      </c>
      <c r="P76" s="155">
        <f t="shared" si="7"/>
        <v>6.0603318751057751</v>
      </c>
      <c r="Q76" s="208">
        <f t="shared" si="8"/>
        <v>22</v>
      </c>
      <c r="R76" s="208">
        <f t="shared" si="22"/>
        <v>2.2193292498534349</v>
      </c>
      <c r="S76" s="155">
        <f t="shared" si="9"/>
        <v>22</v>
      </c>
      <c r="T76" s="155">
        <f t="shared" si="10"/>
        <v>6.020270089067334</v>
      </c>
      <c r="U76" s="208">
        <f t="shared" si="11"/>
        <v>22</v>
      </c>
      <c r="V76" s="208">
        <f t="shared" si="23"/>
        <v>2.2193292498534349</v>
      </c>
      <c r="W76" s="155">
        <f t="shared" si="12"/>
        <v>22</v>
      </c>
      <c r="X76" s="155">
        <f t="shared" si="13"/>
        <v>6.0197132826699296</v>
      </c>
      <c r="Y76" s="208">
        <f t="shared" si="14"/>
        <v>22</v>
      </c>
      <c r="Z76" s="208">
        <f t="shared" si="24"/>
        <v>2.2193292498534349</v>
      </c>
    </row>
    <row r="77" spans="1:26" s="108" customFormat="1">
      <c r="A77" s="150">
        <v>1.02</v>
      </c>
      <c r="B77" s="151">
        <f t="shared" si="25"/>
        <v>0.92667633302175678</v>
      </c>
      <c r="C77" s="152">
        <f t="shared" si="15"/>
        <v>54.742857142857147</v>
      </c>
      <c r="D77" s="152">
        <f t="shared" si="16"/>
        <v>55.042857142857144</v>
      </c>
      <c r="E77" s="153">
        <f t="shared" si="17"/>
        <v>22</v>
      </c>
      <c r="F77" s="154">
        <f t="shared" si="1"/>
        <v>2.267044629122196</v>
      </c>
      <c r="G77" s="155">
        <f t="shared" si="18"/>
        <v>22</v>
      </c>
      <c r="H77" s="155">
        <f t="shared" si="19"/>
        <v>9.6212994234880203</v>
      </c>
      <c r="I77" s="206">
        <f t="shared" si="2"/>
        <v>22</v>
      </c>
      <c r="J77" s="206">
        <f t="shared" si="20"/>
        <v>2.267044629122196</v>
      </c>
      <c r="K77" s="155">
        <f t="shared" si="3"/>
        <v>22</v>
      </c>
      <c r="L77" s="155">
        <f t="shared" si="4"/>
        <v>6.2735223715735335</v>
      </c>
      <c r="M77" s="208">
        <f t="shared" si="5"/>
        <v>22</v>
      </c>
      <c r="N77" s="208">
        <f t="shared" si="21"/>
        <v>2.267044629122196</v>
      </c>
      <c r="O77" s="155">
        <f t="shared" si="6"/>
        <v>22</v>
      </c>
      <c r="P77" s="155">
        <f t="shared" si="7"/>
        <v>6.0856712416216112</v>
      </c>
      <c r="Q77" s="208">
        <f t="shared" si="8"/>
        <v>22</v>
      </c>
      <c r="R77" s="208">
        <f t="shared" si="22"/>
        <v>2.267044629122196</v>
      </c>
      <c r="S77" s="155">
        <f t="shared" si="9"/>
        <v>22</v>
      </c>
      <c r="T77" s="155">
        <f t="shared" si="10"/>
        <v>6.0446777898667703</v>
      </c>
      <c r="U77" s="208">
        <f t="shared" si="11"/>
        <v>22</v>
      </c>
      <c r="V77" s="208">
        <f t="shared" si="23"/>
        <v>2.267044629122196</v>
      </c>
      <c r="W77" s="155">
        <f t="shared" si="12"/>
        <v>22</v>
      </c>
      <c r="X77" s="155">
        <f t="shared" si="13"/>
        <v>6.0441150296570569</v>
      </c>
      <c r="Y77" s="208">
        <f t="shared" si="14"/>
        <v>22</v>
      </c>
      <c r="Z77" s="208">
        <f t="shared" si="24"/>
        <v>2.267044629122196</v>
      </c>
    </row>
    <row r="78" spans="1:26" s="108" customFormat="1">
      <c r="A78" s="150">
        <v>1.03</v>
      </c>
      <c r="B78" s="151">
        <f t="shared" si="25"/>
        <v>0.93648025459038431</v>
      </c>
      <c r="C78" s="152">
        <f t="shared" si="15"/>
        <v>54.742857142857147</v>
      </c>
      <c r="D78" s="152">
        <f t="shared" si="16"/>
        <v>55.042857142857144</v>
      </c>
      <c r="E78" s="153">
        <f t="shared" si="17"/>
        <v>22</v>
      </c>
      <c r="F78" s="154">
        <f t="shared" si="1"/>
        <v>2.3152675055074514</v>
      </c>
      <c r="G78" s="155">
        <f t="shared" si="18"/>
        <v>22</v>
      </c>
      <c r="H78" s="155">
        <f t="shared" si="19"/>
        <v>9.6755980660219567</v>
      </c>
      <c r="I78" s="206">
        <f t="shared" si="2"/>
        <v>22</v>
      </c>
      <c r="J78" s="206">
        <f t="shared" si="20"/>
        <v>2.3152675055074514</v>
      </c>
      <c r="K78" s="155">
        <f t="shared" si="3"/>
        <v>22</v>
      </c>
      <c r="L78" s="155">
        <f t="shared" si="4"/>
        <v>6.3008491393847299</v>
      </c>
      <c r="M78" s="208">
        <f t="shared" si="5"/>
        <v>22</v>
      </c>
      <c r="N78" s="208">
        <f t="shared" si="21"/>
        <v>2.3152675055074514</v>
      </c>
      <c r="O78" s="155">
        <f t="shared" si="6"/>
        <v>22</v>
      </c>
      <c r="P78" s="155">
        <f t="shared" si="7"/>
        <v>6.1110106081374491</v>
      </c>
      <c r="Q78" s="208">
        <f t="shared" si="8"/>
        <v>22</v>
      </c>
      <c r="R78" s="208">
        <f t="shared" si="22"/>
        <v>2.3152675055074514</v>
      </c>
      <c r="S78" s="155">
        <f t="shared" si="9"/>
        <v>22</v>
      </c>
      <c r="T78" s="155">
        <f t="shared" si="10"/>
        <v>6.0690854906662084</v>
      </c>
      <c r="U78" s="208">
        <f t="shared" si="11"/>
        <v>22</v>
      </c>
      <c r="V78" s="208">
        <f t="shared" si="23"/>
        <v>2.3152675055074514</v>
      </c>
      <c r="W78" s="155">
        <f t="shared" si="12"/>
        <v>22</v>
      </c>
      <c r="X78" s="155">
        <f t="shared" si="13"/>
        <v>6.0685167766441852</v>
      </c>
      <c r="Y78" s="208">
        <f t="shared" si="14"/>
        <v>22</v>
      </c>
      <c r="Z78" s="208">
        <f t="shared" si="24"/>
        <v>2.3152675055074514</v>
      </c>
    </row>
    <row r="79" spans="1:26" s="108" customFormat="1">
      <c r="A79" s="150">
        <v>1.04</v>
      </c>
      <c r="B79" s="151">
        <f t="shared" si="25"/>
        <v>0.94628417615901184</v>
      </c>
      <c r="C79" s="152">
        <f t="shared" si="15"/>
        <v>54.742857142857147</v>
      </c>
      <c r="D79" s="152">
        <f t="shared" si="16"/>
        <v>55.042857142857144</v>
      </c>
      <c r="E79" s="153">
        <f t="shared" si="17"/>
        <v>22</v>
      </c>
      <c r="F79" s="154">
        <f t="shared" si="1"/>
        <v>2.3639978790092009</v>
      </c>
      <c r="G79" s="155">
        <f t="shared" si="18"/>
        <v>22</v>
      </c>
      <c r="H79" s="155">
        <f t="shared" si="19"/>
        <v>9.7298967085558949</v>
      </c>
      <c r="I79" s="206">
        <f t="shared" si="2"/>
        <v>22</v>
      </c>
      <c r="J79" s="206">
        <f t="shared" si="20"/>
        <v>2.3639978790092009</v>
      </c>
      <c r="K79" s="155">
        <f t="shared" si="3"/>
        <v>22</v>
      </c>
      <c r="L79" s="155">
        <f t="shared" si="4"/>
        <v>6.3281759071959272</v>
      </c>
      <c r="M79" s="208">
        <f t="shared" si="5"/>
        <v>22</v>
      </c>
      <c r="N79" s="208">
        <f t="shared" si="21"/>
        <v>2.3639978790092009</v>
      </c>
      <c r="O79" s="155">
        <f t="shared" si="6"/>
        <v>22</v>
      </c>
      <c r="P79" s="155">
        <f t="shared" si="7"/>
        <v>6.1363499746532861</v>
      </c>
      <c r="Q79" s="208">
        <f t="shared" si="8"/>
        <v>22</v>
      </c>
      <c r="R79" s="208">
        <f t="shared" si="22"/>
        <v>2.3639978790092009</v>
      </c>
      <c r="S79" s="155">
        <f t="shared" si="9"/>
        <v>22</v>
      </c>
      <c r="T79" s="155">
        <f t="shared" si="10"/>
        <v>6.0934931914656456</v>
      </c>
      <c r="U79" s="208">
        <f t="shared" si="11"/>
        <v>22</v>
      </c>
      <c r="V79" s="208">
        <f t="shared" si="23"/>
        <v>2.3639978790092009</v>
      </c>
      <c r="W79" s="155">
        <f t="shared" si="12"/>
        <v>22</v>
      </c>
      <c r="X79" s="155">
        <f t="shared" si="13"/>
        <v>6.0929185236313135</v>
      </c>
      <c r="Y79" s="208">
        <f t="shared" si="14"/>
        <v>22</v>
      </c>
      <c r="Z79" s="208">
        <f t="shared" si="24"/>
        <v>2.3639978790092009</v>
      </c>
    </row>
    <row r="80" spans="1:26" s="108" customFormat="1">
      <c r="A80" s="150">
        <v>1.05</v>
      </c>
      <c r="B80" s="151">
        <f t="shared" si="25"/>
        <v>0.95608809772763914</v>
      </c>
      <c r="C80" s="152">
        <f t="shared" si="15"/>
        <v>54.742857142857147</v>
      </c>
      <c r="D80" s="152">
        <f t="shared" si="16"/>
        <v>55.042857142857144</v>
      </c>
      <c r="E80" s="153">
        <f t="shared" si="17"/>
        <v>22</v>
      </c>
      <c r="F80" s="154">
        <f t="shared" si="1"/>
        <v>2.413235749627443</v>
      </c>
      <c r="G80" s="155">
        <f t="shared" si="18"/>
        <v>22</v>
      </c>
      <c r="H80" s="155">
        <f t="shared" si="19"/>
        <v>9.7841953510898296</v>
      </c>
      <c r="I80" s="206">
        <f t="shared" si="2"/>
        <v>22</v>
      </c>
      <c r="J80" s="206">
        <f t="shared" si="20"/>
        <v>2.413235749627443</v>
      </c>
      <c r="K80" s="155">
        <f t="shared" si="3"/>
        <v>22</v>
      </c>
      <c r="L80" s="155">
        <f t="shared" si="4"/>
        <v>6.3555026750071244</v>
      </c>
      <c r="M80" s="208">
        <f t="shared" si="5"/>
        <v>22</v>
      </c>
      <c r="N80" s="208">
        <f t="shared" si="21"/>
        <v>2.413235749627443</v>
      </c>
      <c r="O80" s="155">
        <f t="shared" si="6"/>
        <v>22</v>
      </c>
      <c r="P80" s="155">
        <f t="shared" si="7"/>
        <v>6.1616893411691231</v>
      </c>
      <c r="Q80" s="208">
        <f t="shared" si="8"/>
        <v>22</v>
      </c>
      <c r="R80" s="208">
        <f t="shared" si="22"/>
        <v>2.413235749627443</v>
      </c>
      <c r="S80" s="155">
        <f t="shared" si="9"/>
        <v>22</v>
      </c>
      <c r="T80" s="155">
        <f t="shared" si="10"/>
        <v>6.1179008922650819</v>
      </c>
      <c r="U80" s="208">
        <f t="shared" si="11"/>
        <v>22</v>
      </c>
      <c r="V80" s="208">
        <f t="shared" si="23"/>
        <v>2.413235749627443</v>
      </c>
      <c r="W80" s="155">
        <f t="shared" si="12"/>
        <v>22</v>
      </c>
      <c r="X80" s="155">
        <f t="shared" si="13"/>
        <v>6.1173202706184417</v>
      </c>
      <c r="Y80" s="208">
        <f t="shared" si="14"/>
        <v>22</v>
      </c>
      <c r="Z80" s="208">
        <f t="shared" si="24"/>
        <v>2.413235749627443</v>
      </c>
    </row>
    <row r="81" spans="1:26" s="108" customFormat="1">
      <c r="A81" s="150">
        <v>1.06</v>
      </c>
      <c r="B81" s="151">
        <f t="shared" si="25"/>
        <v>0.96589201929626667</v>
      </c>
      <c r="C81" s="152">
        <f t="shared" si="15"/>
        <v>54.742857142857147</v>
      </c>
      <c r="D81" s="152">
        <f t="shared" si="16"/>
        <v>55.042857142857144</v>
      </c>
      <c r="E81" s="153">
        <f t="shared" si="17"/>
        <v>22</v>
      </c>
      <c r="F81" s="154">
        <f t="shared" si="1"/>
        <v>2.4629811173621796</v>
      </c>
      <c r="G81" s="155">
        <f t="shared" si="18"/>
        <v>22</v>
      </c>
      <c r="H81" s="155">
        <f t="shared" si="19"/>
        <v>9.8384939936237679</v>
      </c>
      <c r="I81" s="206">
        <f t="shared" si="2"/>
        <v>22</v>
      </c>
      <c r="J81" s="206">
        <f t="shared" si="20"/>
        <v>2.4629811173621796</v>
      </c>
      <c r="K81" s="155">
        <f t="shared" si="3"/>
        <v>22</v>
      </c>
      <c r="L81" s="155">
        <f t="shared" si="4"/>
        <v>6.3828294428183208</v>
      </c>
      <c r="M81" s="208">
        <f t="shared" si="5"/>
        <v>22</v>
      </c>
      <c r="N81" s="208">
        <f t="shared" si="21"/>
        <v>2.4629811173621796</v>
      </c>
      <c r="O81" s="155">
        <f t="shared" si="6"/>
        <v>22</v>
      </c>
      <c r="P81" s="155">
        <f t="shared" si="7"/>
        <v>6.1870287076849602</v>
      </c>
      <c r="Q81" s="208">
        <f t="shared" si="8"/>
        <v>22</v>
      </c>
      <c r="R81" s="208">
        <f t="shared" si="22"/>
        <v>2.4629811173621796</v>
      </c>
      <c r="S81" s="155">
        <f t="shared" si="9"/>
        <v>22</v>
      </c>
      <c r="T81" s="155">
        <f t="shared" si="10"/>
        <v>6.1423085930645192</v>
      </c>
      <c r="U81" s="208">
        <f t="shared" si="11"/>
        <v>22</v>
      </c>
      <c r="V81" s="208">
        <f t="shared" si="23"/>
        <v>2.4629811173621796</v>
      </c>
      <c r="W81" s="155">
        <f t="shared" si="12"/>
        <v>22</v>
      </c>
      <c r="X81" s="155">
        <f t="shared" si="13"/>
        <v>6.14172201760557</v>
      </c>
      <c r="Y81" s="208">
        <f t="shared" si="14"/>
        <v>22</v>
      </c>
      <c r="Z81" s="208">
        <f t="shared" si="24"/>
        <v>2.4629811173621796</v>
      </c>
    </row>
    <row r="82" spans="1:26" s="108" customFormat="1">
      <c r="A82" s="150">
        <v>1.07</v>
      </c>
      <c r="B82" s="151">
        <f t="shared" si="25"/>
        <v>0.9756959408648942</v>
      </c>
      <c r="C82" s="152">
        <f t="shared" si="15"/>
        <v>54.742857142857147</v>
      </c>
      <c r="D82" s="152">
        <f t="shared" si="16"/>
        <v>55.042857142857144</v>
      </c>
      <c r="E82" s="153">
        <f t="shared" si="17"/>
        <v>22</v>
      </c>
      <c r="F82" s="154">
        <f t="shared" si="1"/>
        <v>2.5132339822134107</v>
      </c>
      <c r="G82" s="155">
        <f t="shared" si="18"/>
        <v>22</v>
      </c>
      <c r="H82" s="155">
        <f t="shared" si="19"/>
        <v>9.8927926361577061</v>
      </c>
      <c r="I82" s="206">
        <f t="shared" si="2"/>
        <v>22</v>
      </c>
      <c r="J82" s="206">
        <f t="shared" si="20"/>
        <v>2.5132339822134107</v>
      </c>
      <c r="K82" s="155">
        <f t="shared" si="3"/>
        <v>22</v>
      </c>
      <c r="L82" s="155">
        <f t="shared" si="4"/>
        <v>6.4101562106295189</v>
      </c>
      <c r="M82" s="208">
        <f t="shared" si="5"/>
        <v>22</v>
      </c>
      <c r="N82" s="208">
        <f t="shared" si="21"/>
        <v>2.5132339822134107</v>
      </c>
      <c r="O82" s="155">
        <f t="shared" si="6"/>
        <v>22</v>
      </c>
      <c r="P82" s="155">
        <f t="shared" si="7"/>
        <v>6.2123680742007972</v>
      </c>
      <c r="Q82" s="208">
        <f t="shared" si="8"/>
        <v>22</v>
      </c>
      <c r="R82" s="208">
        <f t="shared" si="22"/>
        <v>2.5132339822134107</v>
      </c>
      <c r="S82" s="155">
        <f t="shared" si="9"/>
        <v>22</v>
      </c>
      <c r="T82" s="155">
        <f t="shared" si="10"/>
        <v>6.1667162938639573</v>
      </c>
      <c r="U82" s="208">
        <f t="shared" si="11"/>
        <v>22</v>
      </c>
      <c r="V82" s="208">
        <f t="shared" si="23"/>
        <v>2.5132339822134107</v>
      </c>
      <c r="W82" s="155">
        <f t="shared" si="12"/>
        <v>22</v>
      </c>
      <c r="X82" s="155">
        <f t="shared" si="13"/>
        <v>6.1661237645926983</v>
      </c>
      <c r="Y82" s="208">
        <f t="shared" si="14"/>
        <v>22</v>
      </c>
      <c r="Z82" s="208">
        <f t="shared" si="24"/>
        <v>2.5132339822134107</v>
      </c>
    </row>
    <row r="83" spans="1:26" s="108" customFormat="1">
      <c r="A83" s="150">
        <v>1.08</v>
      </c>
      <c r="B83" s="151">
        <f t="shared" si="25"/>
        <v>0.98549986243352161</v>
      </c>
      <c r="C83" s="152">
        <f t="shared" si="15"/>
        <v>54.742857142857147</v>
      </c>
      <c r="D83" s="152">
        <f t="shared" si="16"/>
        <v>55.042857142857144</v>
      </c>
      <c r="E83" s="153">
        <f t="shared" si="17"/>
        <v>22</v>
      </c>
      <c r="F83" s="154">
        <f t="shared" si="1"/>
        <v>2.5639943441811339</v>
      </c>
      <c r="G83" s="155">
        <f t="shared" si="18"/>
        <v>22</v>
      </c>
      <c r="H83" s="155">
        <f t="shared" si="19"/>
        <v>9.9470912786916426</v>
      </c>
      <c r="I83" s="206">
        <f t="shared" si="2"/>
        <v>22</v>
      </c>
      <c r="J83" s="206">
        <f t="shared" si="20"/>
        <v>2.5639943441811339</v>
      </c>
      <c r="K83" s="155">
        <f t="shared" si="3"/>
        <v>22</v>
      </c>
      <c r="L83" s="155">
        <f t="shared" si="4"/>
        <v>6.4374829784407153</v>
      </c>
      <c r="M83" s="208">
        <f t="shared" si="5"/>
        <v>22</v>
      </c>
      <c r="N83" s="208">
        <f t="shared" si="21"/>
        <v>2.5639943441811339</v>
      </c>
      <c r="O83" s="155">
        <f t="shared" si="6"/>
        <v>22</v>
      </c>
      <c r="P83" s="155">
        <f t="shared" si="7"/>
        <v>6.2377074407166342</v>
      </c>
      <c r="Q83" s="208">
        <f t="shared" si="8"/>
        <v>22</v>
      </c>
      <c r="R83" s="208">
        <f t="shared" si="22"/>
        <v>2.5639943441811339</v>
      </c>
      <c r="S83" s="155">
        <f t="shared" si="9"/>
        <v>22</v>
      </c>
      <c r="T83" s="155">
        <f t="shared" si="10"/>
        <v>6.1911239946633936</v>
      </c>
      <c r="U83" s="208">
        <f t="shared" si="11"/>
        <v>22</v>
      </c>
      <c r="V83" s="208">
        <f t="shared" si="23"/>
        <v>2.5639943441811339</v>
      </c>
      <c r="W83" s="155">
        <f t="shared" si="12"/>
        <v>22</v>
      </c>
      <c r="X83" s="155">
        <f t="shared" si="13"/>
        <v>6.1905255115798257</v>
      </c>
      <c r="Y83" s="208">
        <f t="shared" si="14"/>
        <v>22</v>
      </c>
      <c r="Z83" s="208">
        <f t="shared" si="24"/>
        <v>2.5639943441811339</v>
      </c>
    </row>
    <row r="84" spans="1:26" s="108" customFormat="1">
      <c r="A84" s="150">
        <v>1.0900000000000001</v>
      </c>
      <c r="B84" s="151">
        <f t="shared" si="25"/>
        <v>0.99530378400214903</v>
      </c>
      <c r="C84" s="152">
        <f t="shared" si="15"/>
        <v>54.742857142857147</v>
      </c>
      <c r="D84" s="152">
        <f t="shared" si="16"/>
        <v>55.042857142857144</v>
      </c>
      <c r="E84" s="153">
        <f t="shared" si="17"/>
        <v>22</v>
      </c>
      <c r="F84" s="154">
        <f t="shared" si="1"/>
        <v>2.6152622032653512</v>
      </c>
      <c r="G84" s="155">
        <f t="shared" si="18"/>
        <v>22</v>
      </c>
      <c r="H84" s="155">
        <f t="shared" si="19"/>
        <v>10.001389921225579</v>
      </c>
      <c r="I84" s="206">
        <f t="shared" si="2"/>
        <v>22</v>
      </c>
      <c r="J84" s="206">
        <f t="shared" si="20"/>
        <v>2.6152622032653512</v>
      </c>
      <c r="K84" s="155">
        <f t="shared" si="3"/>
        <v>22</v>
      </c>
      <c r="L84" s="155">
        <f t="shared" si="4"/>
        <v>6.4648097462519116</v>
      </c>
      <c r="M84" s="208">
        <f t="shared" si="5"/>
        <v>22</v>
      </c>
      <c r="N84" s="208">
        <f t="shared" si="21"/>
        <v>2.6152622032653512</v>
      </c>
      <c r="O84" s="155">
        <f t="shared" si="6"/>
        <v>22</v>
      </c>
      <c r="P84" s="155">
        <f t="shared" si="7"/>
        <v>6.2630468072324712</v>
      </c>
      <c r="Q84" s="208">
        <f t="shared" si="8"/>
        <v>22</v>
      </c>
      <c r="R84" s="208">
        <f t="shared" si="22"/>
        <v>2.6152622032653512</v>
      </c>
      <c r="S84" s="155">
        <f t="shared" si="9"/>
        <v>22</v>
      </c>
      <c r="T84" s="155">
        <f t="shared" si="10"/>
        <v>6.2155316954628308</v>
      </c>
      <c r="U84" s="208">
        <f t="shared" si="11"/>
        <v>22</v>
      </c>
      <c r="V84" s="208">
        <f t="shared" si="23"/>
        <v>2.6152622032653512</v>
      </c>
      <c r="W84" s="155">
        <f t="shared" si="12"/>
        <v>22</v>
      </c>
      <c r="X84" s="155">
        <f t="shared" si="13"/>
        <v>6.2149272585669548</v>
      </c>
      <c r="Y84" s="208">
        <f t="shared" si="14"/>
        <v>22</v>
      </c>
      <c r="Z84" s="208">
        <f t="shared" si="24"/>
        <v>2.6152622032653512</v>
      </c>
    </row>
    <row r="85" spans="1:26" s="108" customFormat="1">
      <c r="A85" s="150">
        <v>1.1000000000000001</v>
      </c>
      <c r="B85" s="151">
        <f t="shared" si="25"/>
        <v>1.0051077055707767</v>
      </c>
      <c r="C85" s="152">
        <f t="shared" si="15"/>
        <v>54.742857142857147</v>
      </c>
      <c r="D85" s="152">
        <f t="shared" si="16"/>
        <v>55.042857142857144</v>
      </c>
      <c r="E85" s="153">
        <f t="shared" si="17"/>
        <v>22</v>
      </c>
      <c r="F85" s="154">
        <f t="shared" si="1"/>
        <v>2.6670375594660634</v>
      </c>
      <c r="G85" s="155">
        <f t="shared" si="18"/>
        <v>22</v>
      </c>
      <c r="H85" s="155">
        <f t="shared" si="19"/>
        <v>10.055688563759515</v>
      </c>
      <c r="I85" s="206">
        <f t="shared" si="2"/>
        <v>22</v>
      </c>
      <c r="J85" s="206">
        <f t="shared" si="20"/>
        <v>2.6670375594660634</v>
      </c>
      <c r="K85" s="155">
        <f t="shared" si="3"/>
        <v>22</v>
      </c>
      <c r="L85" s="155">
        <f t="shared" si="4"/>
        <v>6.4921365140631098</v>
      </c>
      <c r="M85" s="208">
        <f t="shared" si="5"/>
        <v>22</v>
      </c>
      <c r="N85" s="208">
        <f t="shared" si="21"/>
        <v>2.6670375594660634</v>
      </c>
      <c r="O85" s="155">
        <f t="shared" si="6"/>
        <v>22</v>
      </c>
      <c r="P85" s="155">
        <f t="shared" si="7"/>
        <v>6.2883861737483091</v>
      </c>
      <c r="Q85" s="208">
        <f t="shared" si="8"/>
        <v>22</v>
      </c>
      <c r="R85" s="208">
        <f t="shared" si="22"/>
        <v>2.6670375594660634</v>
      </c>
      <c r="S85" s="155">
        <f t="shared" si="9"/>
        <v>22</v>
      </c>
      <c r="T85" s="155">
        <f t="shared" si="10"/>
        <v>6.239939396262268</v>
      </c>
      <c r="U85" s="208">
        <f t="shared" si="11"/>
        <v>22</v>
      </c>
      <c r="V85" s="208">
        <f t="shared" si="23"/>
        <v>2.6670375594660634</v>
      </c>
      <c r="W85" s="155">
        <f t="shared" si="12"/>
        <v>22</v>
      </c>
      <c r="X85" s="155">
        <f t="shared" si="13"/>
        <v>6.2393290055540831</v>
      </c>
      <c r="Y85" s="208">
        <f t="shared" si="14"/>
        <v>22</v>
      </c>
      <c r="Z85" s="208">
        <f t="shared" si="24"/>
        <v>2.6670375594660634</v>
      </c>
    </row>
    <row r="86" spans="1:26" s="108" customFormat="1">
      <c r="A86" s="150">
        <v>1.1100000000000001</v>
      </c>
      <c r="B86" s="151">
        <f t="shared" si="25"/>
        <v>1.0149116271394039</v>
      </c>
      <c r="C86" s="152">
        <f t="shared" si="15"/>
        <v>54.742857142857147</v>
      </c>
      <c r="D86" s="152">
        <f t="shared" si="16"/>
        <v>55.042857142857144</v>
      </c>
      <c r="E86" s="153">
        <f t="shared" si="17"/>
        <v>22</v>
      </c>
      <c r="F86" s="154">
        <f t="shared" si="1"/>
        <v>2.7193204127832664</v>
      </c>
      <c r="G86" s="155">
        <f t="shared" si="18"/>
        <v>22</v>
      </c>
      <c r="H86" s="155">
        <f t="shared" si="19"/>
        <v>10.109987206293452</v>
      </c>
      <c r="I86" s="206">
        <f t="shared" si="2"/>
        <v>22</v>
      </c>
      <c r="J86" s="206">
        <f t="shared" si="20"/>
        <v>2.7193204127832664</v>
      </c>
      <c r="K86" s="155">
        <f t="shared" si="3"/>
        <v>22</v>
      </c>
      <c r="L86" s="155">
        <f t="shared" si="4"/>
        <v>6.5194632818743052</v>
      </c>
      <c r="M86" s="208">
        <f t="shared" si="5"/>
        <v>22</v>
      </c>
      <c r="N86" s="208">
        <f t="shared" si="21"/>
        <v>2.7193204127832664</v>
      </c>
      <c r="O86" s="155">
        <f t="shared" si="6"/>
        <v>22</v>
      </c>
      <c r="P86" s="155">
        <f t="shared" si="7"/>
        <v>6.3137255402641452</v>
      </c>
      <c r="Q86" s="208">
        <f t="shared" si="8"/>
        <v>22</v>
      </c>
      <c r="R86" s="208">
        <f t="shared" si="22"/>
        <v>2.7193204127832664</v>
      </c>
      <c r="S86" s="155">
        <f t="shared" si="9"/>
        <v>22</v>
      </c>
      <c r="T86" s="155">
        <f t="shared" si="10"/>
        <v>6.2643470970617043</v>
      </c>
      <c r="U86" s="208">
        <f t="shared" si="11"/>
        <v>22</v>
      </c>
      <c r="V86" s="208">
        <f t="shared" si="23"/>
        <v>2.7193204127832664</v>
      </c>
      <c r="W86" s="155">
        <f t="shared" si="12"/>
        <v>22</v>
      </c>
      <c r="X86" s="155">
        <f t="shared" si="13"/>
        <v>6.2637307525412105</v>
      </c>
      <c r="Y86" s="208">
        <f t="shared" si="14"/>
        <v>22</v>
      </c>
      <c r="Z86" s="208">
        <f t="shared" si="24"/>
        <v>2.7193204127832664</v>
      </c>
    </row>
    <row r="87" spans="1:26" s="108" customFormat="1">
      <c r="A87" s="150">
        <v>1.1200000000000001</v>
      </c>
      <c r="B87" s="151">
        <f t="shared" si="25"/>
        <v>1.0247155487080315</v>
      </c>
      <c r="C87" s="152">
        <f t="shared" si="15"/>
        <v>54.742857142857147</v>
      </c>
      <c r="D87" s="152">
        <f t="shared" si="16"/>
        <v>55.042857142857144</v>
      </c>
      <c r="E87" s="153">
        <f t="shared" si="17"/>
        <v>22</v>
      </c>
      <c r="F87" s="154">
        <f t="shared" si="1"/>
        <v>2.7721107632169657</v>
      </c>
      <c r="G87" s="155">
        <f t="shared" si="18"/>
        <v>22</v>
      </c>
      <c r="H87" s="155">
        <f t="shared" si="19"/>
        <v>10.164285848827388</v>
      </c>
      <c r="I87" s="206">
        <f t="shared" si="2"/>
        <v>22</v>
      </c>
      <c r="J87" s="206">
        <f t="shared" si="20"/>
        <v>2.7721107632169657</v>
      </c>
      <c r="K87" s="155">
        <f t="shared" si="3"/>
        <v>22</v>
      </c>
      <c r="L87" s="155">
        <f t="shared" si="4"/>
        <v>6.5467900496855025</v>
      </c>
      <c r="M87" s="208">
        <f t="shared" si="5"/>
        <v>22</v>
      </c>
      <c r="N87" s="208">
        <f t="shared" si="21"/>
        <v>2.7721107632169657</v>
      </c>
      <c r="O87" s="155">
        <f t="shared" si="6"/>
        <v>22</v>
      </c>
      <c r="P87" s="155">
        <f t="shared" si="7"/>
        <v>6.3390649067799831</v>
      </c>
      <c r="Q87" s="208">
        <f t="shared" si="8"/>
        <v>22</v>
      </c>
      <c r="R87" s="208">
        <f t="shared" si="22"/>
        <v>2.7721107632169657</v>
      </c>
      <c r="S87" s="155">
        <f t="shared" si="9"/>
        <v>22</v>
      </c>
      <c r="T87" s="155">
        <f t="shared" si="10"/>
        <v>6.2887547978611424</v>
      </c>
      <c r="U87" s="208">
        <f t="shared" si="11"/>
        <v>22</v>
      </c>
      <c r="V87" s="208">
        <f t="shared" si="23"/>
        <v>2.7721107632169657</v>
      </c>
      <c r="W87" s="155">
        <f t="shared" si="12"/>
        <v>22</v>
      </c>
      <c r="X87" s="155">
        <f t="shared" si="13"/>
        <v>6.2881324995283387</v>
      </c>
      <c r="Y87" s="208">
        <f t="shared" si="14"/>
        <v>22</v>
      </c>
      <c r="Z87" s="208">
        <f t="shared" si="24"/>
        <v>2.7721107632169657</v>
      </c>
    </row>
    <row r="88" spans="1:26" s="108" customFormat="1">
      <c r="A88" s="150">
        <v>1.1299999999999999</v>
      </c>
      <c r="B88" s="151">
        <f t="shared" si="25"/>
        <v>1.0345194702766587</v>
      </c>
      <c r="C88" s="152">
        <f t="shared" si="15"/>
        <v>54.742857142857147</v>
      </c>
      <c r="D88" s="152">
        <f t="shared" si="16"/>
        <v>55.042857142857144</v>
      </c>
      <c r="E88" s="153">
        <f t="shared" si="17"/>
        <v>22</v>
      </c>
      <c r="F88" s="154">
        <f t="shared" si="1"/>
        <v>2.8254086107671559</v>
      </c>
      <c r="G88" s="155">
        <f t="shared" si="18"/>
        <v>22</v>
      </c>
      <c r="H88" s="155">
        <f t="shared" si="19"/>
        <v>10.218584491361325</v>
      </c>
      <c r="I88" s="206">
        <f t="shared" si="2"/>
        <v>22</v>
      </c>
      <c r="J88" s="206">
        <f t="shared" si="20"/>
        <v>2.8254086107671559</v>
      </c>
      <c r="K88" s="155">
        <f t="shared" si="3"/>
        <v>22</v>
      </c>
      <c r="L88" s="155">
        <f t="shared" si="4"/>
        <v>6.5741168174966989</v>
      </c>
      <c r="M88" s="208">
        <f t="shared" si="5"/>
        <v>22</v>
      </c>
      <c r="N88" s="208">
        <f t="shared" si="21"/>
        <v>2.8254086107671559</v>
      </c>
      <c r="O88" s="155">
        <f t="shared" si="6"/>
        <v>22</v>
      </c>
      <c r="P88" s="155">
        <f t="shared" si="7"/>
        <v>6.3644042732958193</v>
      </c>
      <c r="Q88" s="208">
        <f t="shared" si="8"/>
        <v>22</v>
      </c>
      <c r="R88" s="208">
        <f t="shared" si="22"/>
        <v>2.8254086107671559</v>
      </c>
      <c r="S88" s="155">
        <f t="shared" si="9"/>
        <v>22</v>
      </c>
      <c r="T88" s="155">
        <f t="shared" si="10"/>
        <v>6.3131624986605788</v>
      </c>
      <c r="U88" s="208">
        <f t="shared" si="11"/>
        <v>22</v>
      </c>
      <c r="V88" s="208">
        <f t="shared" si="23"/>
        <v>2.8254086107671559</v>
      </c>
      <c r="W88" s="155">
        <f t="shared" si="12"/>
        <v>22</v>
      </c>
      <c r="X88" s="155">
        <f t="shared" si="13"/>
        <v>6.3125342465154661</v>
      </c>
      <c r="Y88" s="208">
        <f t="shared" si="14"/>
        <v>22</v>
      </c>
      <c r="Z88" s="208">
        <f t="shared" si="24"/>
        <v>2.8254086107671559</v>
      </c>
    </row>
    <row r="89" spans="1:26" s="108" customFormat="1">
      <c r="A89" s="150">
        <v>1.1399999999999999</v>
      </c>
      <c r="B89" s="151">
        <f t="shared" si="25"/>
        <v>1.0443233918452861</v>
      </c>
      <c r="C89" s="152">
        <f t="shared" si="15"/>
        <v>54.742857142857147</v>
      </c>
      <c r="D89" s="152">
        <f t="shared" si="16"/>
        <v>55.042857142857144</v>
      </c>
      <c r="E89" s="153">
        <f t="shared" si="17"/>
        <v>22</v>
      </c>
      <c r="F89" s="154">
        <f t="shared" si="1"/>
        <v>2.8792139554338414</v>
      </c>
      <c r="G89" s="155">
        <f t="shared" si="18"/>
        <v>22</v>
      </c>
      <c r="H89" s="155">
        <f t="shared" si="19"/>
        <v>10.272883133895261</v>
      </c>
      <c r="I89" s="206">
        <f t="shared" si="2"/>
        <v>22</v>
      </c>
      <c r="J89" s="206">
        <f t="shared" si="20"/>
        <v>2.8792139554338414</v>
      </c>
      <c r="K89" s="155">
        <f t="shared" si="3"/>
        <v>22</v>
      </c>
      <c r="L89" s="155">
        <f t="shared" si="4"/>
        <v>6.6014435853078952</v>
      </c>
      <c r="M89" s="208">
        <f t="shared" si="5"/>
        <v>22</v>
      </c>
      <c r="N89" s="208">
        <f t="shared" si="21"/>
        <v>2.8792139554338414</v>
      </c>
      <c r="O89" s="155">
        <f t="shared" si="6"/>
        <v>22</v>
      </c>
      <c r="P89" s="155">
        <f t="shared" si="7"/>
        <v>6.3897436398116563</v>
      </c>
      <c r="Q89" s="208">
        <f t="shared" si="8"/>
        <v>22</v>
      </c>
      <c r="R89" s="208">
        <f t="shared" si="22"/>
        <v>2.8792139554338414</v>
      </c>
      <c r="S89" s="155">
        <f t="shared" si="9"/>
        <v>22</v>
      </c>
      <c r="T89" s="155">
        <f t="shared" si="10"/>
        <v>6.337570199460016</v>
      </c>
      <c r="U89" s="208">
        <f t="shared" si="11"/>
        <v>22</v>
      </c>
      <c r="V89" s="208">
        <f t="shared" si="23"/>
        <v>2.8792139554338414</v>
      </c>
      <c r="W89" s="155">
        <f t="shared" si="12"/>
        <v>22</v>
      </c>
      <c r="X89" s="155">
        <f t="shared" si="13"/>
        <v>6.3369359935025953</v>
      </c>
      <c r="Y89" s="208">
        <f t="shared" si="14"/>
        <v>22</v>
      </c>
      <c r="Z89" s="208">
        <f t="shared" si="24"/>
        <v>2.8792139554338414</v>
      </c>
    </row>
    <row r="90" spans="1:26" s="108" customFormat="1">
      <c r="A90" s="150">
        <v>1.1499999999999999</v>
      </c>
      <c r="B90" s="151">
        <f t="shared" si="25"/>
        <v>1.0541273134139137</v>
      </c>
      <c r="C90" s="152">
        <f t="shared" si="15"/>
        <v>54.742857142857147</v>
      </c>
      <c r="D90" s="152">
        <f t="shared" si="16"/>
        <v>55.042857142857144</v>
      </c>
      <c r="E90" s="153">
        <f t="shared" si="17"/>
        <v>22</v>
      </c>
      <c r="F90" s="154">
        <f t="shared" si="1"/>
        <v>2.9335267972170214</v>
      </c>
      <c r="G90" s="155">
        <f t="shared" si="18"/>
        <v>22</v>
      </c>
      <c r="H90" s="155">
        <f t="shared" si="19"/>
        <v>10.327181776429198</v>
      </c>
      <c r="I90" s="206">
        <f t="shared" si="2"/>
        <v>22</v>
      </c>
      <c r="J90" s="206">
        <f t="shared" si="20"/>
        <v>2.9335267972170214</v>
      </c>
      <c r="K90" s="155">
        <f t="shared" si="3"/>
        <v>22</v>
      </c>
      <c r="L90" s="155">
        <f t="shared" si="4"/>
        <v>6.6287703531190925</v>
      </c>
      <c r="M90" s="208">
        <f t="shared" si="5"/>
        <v>22</v>
      </c>
      <c r="N90" s="208">
        <f t="shared" si="21"/>
        <v>2.9335267972170214</v>
      </c>
      <c r="O90" s="155">
        <f t="shared" si="6"/>
        <v>22</v>
      </c>
      <c r="P90" s="155">
        <f t="shared" si="7"/>
        <v>6.4150830063274942</v>
      </c>
      <c r="Q90" s="208">
        <f t="shared" si="8"/>
        <v>22</v>
      </c>
      <c r="R90" s="208">
        <f t="shared" si="22"/>
        <v>2.9335267972170214</v>
      </c>
      <c r="S90" s="155">
        <f t="shared" si="9"/>
        <v>22</v>
      </c>
      <c r="T90" s="155">
        <f t="shared" si="10"/>
        <v>6.3619779002594532</v>
      </c>
      <c r="U90" s="208">
        <f t="shared" si="11"/>
        <v>22</v>
      </c>
      <c r="V90" s="208">
        <f t="shared" si="23"/>
        <v>2.9335267972170214</v>
      </c>
      <c r="W90" s="155">
        <f t="shared" si="12"/>
        <v>22</v>
      </c>
      <c r="X90" s="155">
        <f t="shared" si="13"/>
        <v>6.3613377404897236</v>
      </c>
      <c r="Y90" s="208">
        <f t="shared" si="14"/>
        <v>22</v>
      </c>
      <c r="Z90" s="208">
        <f t="shared" si="24"/>
        <v>2.9335267972170214</v>
      </c>
    </row>
    <row r="91" spans="1:26" s="108" customFormat="1">
      <c r="A91" s="150">
        <v>1.1599999999999999</v>
      </c>
      <c r="B91" s="151">
        <f t="shared" si="25"/>
        <v>1.0639312349825409</v>
      </c>
      <c r="C91" s="152">
        <f t="shared" si="15"/>
        <v>54.742857142857147</v>
      </c>
      <c r="D91" s="152">
        <f t="shared" si="16"/>
        <v>55.042857142857144</v>
      </c>
      <c r="E91" s="153">
        <f t="shared" si="17"/>
        <v>22</v>
      </c>
      <c r="F91" s="154">
        <f t="shared" si="1"/>
        <v>2.9883471361166936</v>
      </c>
      <c r="G91" s="155">
        <f t="shared" si="18"/>
        <v>22</v>
      </c>
      <c r="H91" s="155">
        <f t="shared" si="19"/>
        <v>10.381480418963134</v>
      </c>
      <c r="I91" s="206">
        <f t="shared" si="2"/>
        <v>22</v>
      </c>
      <c r="J91" s="206">
        <f t="shared" si="20"/>
        <v>2.9883471361166936</v>
      </c>
      <c r="K91" s="155">
        <f t="shared" si="3"/>
        <v>22</v>
      </c>
      <c r="L91" s="155">
        <f t="shared" si="4"/>
        <v>6.6560971209302897</v>
      </c>
      <c r="M91" s="208">
        <f t="shared" si="5"/>
        <v>22</v>
      </c>
      <c r="N91" s="208">
        <f t="shared" si="21"/>
        <v>2.9883471361166936</v>
      </c>
      <c r="O91" s="155">
        <f t="shared" si="6"/>
        <v>22</v>
      </c>
      <c r="P91" s="155">
        <f t="shared" si="7"/>
        <v>6.4404223728433303</v>
      </c>
      <c r="Q91" s="208">
        <f t="shared" si="8"/>
        <v>22</v>
      </c>
      <c r="R91" s="208">
        <f t="shared" si="22"/>
        <v>2.9883471361166936</v>
      </c>
      <c r="S91" s="155">
        <f t="shared" si="9"/>
        <v>22</v>
      </c>
      <c r="T91" s="155">
        <f t="shared" si="10"/>
        <v>6.3863856010588895</v>
      </c>
      <c r="U91" s="208">
        <f t="shared" si="11"/>
        <v>22</v>
      </c>
      <c r="V91" s="208">
        <f t="shared" si="23"/>
        <v>2.9883471361166936</v>
      </c>
      <c r="W91" s="155">
        <f t="shared" si="12"/>
        <v>22</v>
      </c>
      <c r="X91" s="155">
        <f t="shared" si="13"/>
        <v>6.3857394874768509</v>
      </c>
      <c r="Y91" s="208">
        <f t="shared" si="14"/>
        <v>22</v>
      </c>
      <c r="Z91" s="208">
        <f t="shared" si="24"/>
        <v>2.9883471361166936</v>
      </c>
    </row>
    <row r="92" spans="1:26" s="108" customFormat="1">
      <c r="A92" s="150">
        <v>1.17</v>
      </c>
      <c r="B92" s="151">
        <f t="shared" si="25"/>
        <v>1.0737351565511686</v>
      </c>
      <c r="C92" s="152">
        <f t="shared" si="15"/>
        <v>54.742857142857147</v>
      </c>
      <c r="D92" s="152">
        <f t="shared" si="16"/>
        <v>55.042857142857144</v>
      </c>
      <c r="E92" s="153">
        <f t="shared" si="17"/>
        <v>22</v>
      </c>
      <c r="F92" s="154">
        <f t="shared" si="1"/>
        <v>3.0436749721328606</v>
      </c>
      <c r="G92" s="155">
        <f t="shared" si="18"/>
        <v>22</v>
      </c>
      <c r="H92" s="155">
        <f t="shared" si="19"/>
        <v>10.435779061497071</v>
      </c>
      <c r="I92" s="206">
        <f t="shared" si="2"/>
        <v>22</v>
      </c>
      <c r="J92" s="206">
        <f t="shared" si="20"/>
        <v>3.0436749721328606</v>
      </c>
      <c r="K92" s="155">
        <f t="shared" si="3"/>
        <v>22</v>
      </c>
      <c r="L92" s="155">
        <f t="shared" si="4"/>
        <v>6.6834238887414861</v>
      </c>
      <c r="M92" s="208">
        <f t="shared" si="5"/>
        <v>22</v>
      </c>
      <c r="N92" s="208">
        <f t="shared" si="21"/>
        <v>3.0436749721328606</v>
      </c>
      <c r="O92" s="155">
        <f t="shared" si="6"/>
        <v>22</v>
      </c>
      <c r="P92" s="155">
        <f t="shared" si="7"/>
        <v>6.4657617393591682</v>
      </c>
      <c r="Q92" s="208">
        <f t="shared" si="8"/>
        <v>22</v>
      </c>
      <c r="R92" s="208">
        <f t="shared" si="22"/>
        <v>3.0436749721328606</v>
      </c>
      <c r="S92" s="155">
        <f t="shared" si="9"/>
        <v>22</v>
      </c>
      <c r="T92" s="155">
        <f t="shared" si="10"/>
        <v>6.4107933018583276</v>
      </c>
      <c r="U92" s="208">
        <f t="shared" si="11"/>
        <v>22</v>
      </c>
      <c r="V92" s="208">
        <f t="shared" si="23"/>
        <v>3.0436749721328606</v>
      </c>
      <c r="W92" s="155">
        <f t="shared" si="12"/>
        <v>22</v>
      </c>
      <c r="X92" s="155">
        <f t="shared" si="13"/>
        <v>6.4101412344639792</v>
      </c>
      <c r="Y92" s="208">
        <f t="shared" si="14"/>
        <v>22</v>
      </c>
      <c r="Z92" s="208">
        <f t="shared" si="24"/>
        <v>3.0436749721328606</v>
      </c>
    </row>
    <row r="93" spans="1:26" s="108" customFormat="1">
      <c r="A93" s="150">
        <v>1.18</v>
      </c>
      <c r="B93" s="151">
        <f t="shared" si="25"/>
        <v>1.083539078119796</v>
      </c>
      <c r="C93" s="152">
        <f t="shared" si="15"/>
        <v>54.742857142857147</v>
      </c>
      <c r="D93" s="152">
        <f t="shared" si="16"/>
        <v>55.042857142857144</v>
      </c>
      <c r="E93" s="153">
        <f t="shared" si="17"/>
        <v>22</v>
      </c>
      <c r="F93" s="154">
        <f t="shared" si="1"/>
        <v>3.0995103052655213</v>
      </c>
      <c r="G93" s="155">
        <f t="shared" si="18"/>
        <v>22</v>
      </c>
      <c r="H93" s="155">
        <f t="shared" si="19"/>
        <v>10.490077704031007</v>
      </c>
      <c r="I93" s="206">
        <f t="shared" si="2"/>
        <v>22</v>
      </c>
      <c r="J93" s="206">
        <f t="shared" si="20"/>
        <v>3.0995103052655213</v>
      </c>
      <c r="K93" s="155">
        <f t="shared" si="3"/>
        <v>22</v>
      </c>
      <c r="L93" s="155">
        <f t="shared" si="4"/>
        <v>6.7107506565526833</v>
      </c>
      <c r="M93" s="208">
        <f t="shared" si="5"/>
        <v>22</v>
      </c>
      <c r="N93" s="208">
        <f t="shared" si="21"/>
        <v>3.0995103052655213</v>
      </c>
      <c r="O93" s="155">
        <f t="shared" si="6"/>
        <v>22</v>
      </c>
      <c r="P93" s="155">
        <f t="shared" si="7"/>
        <v>6.4911011058750052</v>
      </c>
      <c r="Q93" s="208">
        <f t="shared" si="8"/>
        <v>22</v>
      </c>
      <c r="R93" s="208">
        <f t="shared" si="22"/>
        <v>3.0995103052655213</v>
      </c>
      <c r="S93" s="155">
        <f t="shared" si="9"/>
        <v>22</v>
      </c>
      <c r="T93" s="155">
        <f t="shared" si="10"/>
        <v>6.4352010026577648</v>
      </c>
      <c r="U93" s="208">
        <f t="shared" si="11"/>
        <v>22</v>
      </c>
      <c r="V93" s="208">
        <f t="shared" si="23"/>
        <v>3.0995103052655213</v>
      </c>
      <c r="W93" s="155">
        <f t="shared" si="12"/>
        <v>22</v>
      </c>
      <c r="X93" s="155">
        <f t="shared" si="13"/>
        <v>6.4345429814511075</v>
      </c>
      <c r="Y93" s="208">
        <f t="shared" si="14"/>
        <v>22</v>
      </c>
      <c r="Z93" s="208">
        <f t="shared" si="24"/>
        <v>3.0995103052655213</v>
      </c>
    </row>
    <row r="94" spans="1:26" s="108" customFormat="1">
      <c r="A94" s="150">
        <v>1.19</v>
      </c>
      <c r="B94" s="151">
        <f t="shared" si="25"/>
        <v>1.0933429996884234</v>
      </c>
      <c r="C94" s="152">
        <f t="shared" si="15"/>
        <v>54.742857142857147</v>
      </c>
      <c r="D94" s="152">
        <f t="shared" si="16"/>
        <v>55.042857142857144</v>
      </c>
      <c r="E94" s="153">
        <f t="shared" si="17"/>
        <v>22</v>
      </c>
      <c r="F94" s="154">
        <f t="shared" ref="F94:F125" si="26">(0.5*Lm*$B94*$B94*$E94*0.001)</f>
        <v>3.1558531355146746</v>
      </c>
      <c r="G94" s="155">
        <f t="shared" si="18"/>
        <v>22</v>
      </c>
      <c r="H94" s="155">
        <f t="shared" ref="H94:H125" si="27">$I$6+Tdead+$J$6+$B94*Lm/$C$6+$K$6+$B94*Lm/VOR+$L$6</f>
        <v>10.544376346564944</v>
      </c>
      <c r="I94" s="206">
        <f t="shared" ref="I94:I125" si="28">MIN(G94,1000/H94)</f>
        <v>22</v>
      </c>
      <c r="J94" s="206">
        <f t="shared" si="20"/>
        <v>3.1558531355146746</v>
      </c>
      <c r="K94" s="155">
        <f t="shared" ref="K94:K125" si="29">IF(1000/($D94+$I$7+$I$13)&lt;$J$13,$J$13,1000/($D94+$I$7+$I$13))</f>
        <v>22</v>
      </c>
      <c r="L94" s="155">
        <f t="shared" ref="L94:L125" si="30">$I$9+Tdead+$J$9+$B94*Lm/L$59+$K$9+$B94*Lm/VOR+$L$9</f>
        <v>6.7380774243638797</v>
      </c>
      <c r="M94" s="208">
        <f t="shared" ref="M94:M125" si="31">MIN(K94,1000/L94)</f>
        <v>22</v>
      </c>
      <c r="N94" s="208">
        <f t="shared" si="21"/>
        <v>3.1558531355146746</v>
      </c>
      <c r="O94" s="155">
        <f t="shared" ref="O94:O125" si="32">IF(1000/($D94+$I$8+$I$13)&lt;$J$13,$J$13,1000/($D94+$I$8+$I$13))</f>
        <v>22</v>
      </c>
      <c r="P94" s="155">
        <f t="shared" ref="P94:P125" si="33">$I$9+Tdead+$J$9+$B94*Lm/P$59+$K$9+$B94*Lm/VOR+$L$9</f>
        <v>6.5164404723908413</v>
      </c>
      <c r="Q94" s="208">
        <f t="shared" ref="Q94:Q125" si="34">MIN(O94,1000/P94)</f>
        <v>22</v>
      </c>
      <c r="R94" s="208">
        <f t="shared" si="22"/>
        <v>3.1558531355146746</v>
      </c>
      <c r="S94" s="155">
        <f t="shared" ref="S94:S125" si="35">IF((1000/($D94+$I$9+$I$13))&lt;$J$13,$J$13,1000/($D94+$I$9+$I$13))</f>
        <v>22</v>
      </c>
      <c r="T94" s="155">
        <f t="shared" ref="T94:T125" si="36">$I$10+Tdead+$J$10+$B94*Lm/T$59+$K$10+$B94*Lm/VOR+$L$10</f>
        <v>6.4596087034572012</v>
      </c>
      <c r="U94" s="208">
        <f t="shared" ref="U94:U125" si="37">MIN(S94,1000/T94)</f>
        <v>22</v>
      </c>
      <c r="V94" s="208">
        <f t="shared" si="23"/>
        <v>3.1558531355146746</v>
      </c>
      <c r="W94" s="155">
        <f t="shared" ref="W94:W125" si="38">IF(1000/($D94+$I$10+$I$13)&lt;$J$13,$J$13,1000/($D94+$I$10+$I$13))</f>
        <v>22</v>
      </c>
      <c r="X94" s="155">
        <f t="shared" si="13"/>
        <v>6.4589447284382357</v>
      </c>
      <c r="Y94" s="208">
        <f t="shared" ref="Y94:Y125" si="39">MIN(W94,1000/X94)</f>
        <v>22</v>
      </c>
      <c r="Z94" s="208">
        <f t="shared" si="24"/>
        <v>3.1558531355146746</v>
      </c>
    </row>
    <row r="95" spans="1:26" s="108" customFormat="1">
      <c r="A95" s="150">
        <v>1.2</v>
      </c>
      <c r="B95" s="151">
        <f t="shared" si="25"/>
        <v>1.1031469212570508</v>
      </c>
      <c r="C95" s="152">
        <f t="shared" si="15"/>
        <v>54.742857142857147</v>
      </c>
      <c r="D95" s="152">
        <f t="shared" si="16"/>
        <v>55.042857142857144</v>
      </c>
      <c r="E95" s="153">
        <f t="shared" si="17"/>
        <v>22</v>
      </c>
      <c r="F95" s="154">
        <f t="shared" si="26"/>
        <v>3.2127034628803224</v>
      </c>
      <c r="G95" s="155">
        <f t="shared" ref="G95:G126" si="40">IF(1000/($D95+$I$10+$I$13)&lt;$J$13,$J$13,1000/($D95+$I$10+$I$13))</f>
        <v>22</v>
      </c>
      <c r="H95" s="155">
        <f t="shared" si="27"/>
        <v>10.59867498909888</v>
      </c>
      <c r="I95" s="206">
        <f t="shared" si="28"/>
        <v>22</v>
      </c>
      <c r="J95" s="206">
        <f t="shared" si="20"/>
        <v>3.2127034628803224</v>
      </c>
      <c r="K95" s="155">
        <f t="shared" si="29"/>
        <v>22</v>
      </c>
      <c r="L95" s="155">
        <f t="shared" si="30"/>
        <v>6.7654041921750769</v>
      </c>
      <c r="M95" s="208">
        <f t="shared" si="31"/>
        <v>22</v>
      </c>
      <c r="N95" s="208">
        <f t="shared" si="21"/>
        <v>3.2127034628803224</v>
      </c>
      <c r="O95" s="155">
        <f t="shared" si="32"/>
        <v>22</v>
      </c>
      <c r="P95" s="155">
        <f t="shared" si="33"/>
        <v>6.5417798389066792</v>
      </c>
      <c r="Q95" s="208">
        <f t="shared" si="34"/>
        <v>22</v>
      </c>
      <c r="R95" s="208">
        <f t="shared" si="22"/>
        <v>3.2127034628803224</v>
      </c>
      <c r="S95" s="155">
        <f t="shared" si="35"/>
        <v>22</v>
      </c>
      <c r="T95" s="155">
        <f t="shared" si="36"/>
        <v>6.4840164042566384</v>
      </c>
      <c r="U95" s="208">
        <f t="shared" si="37"/>
        <v>22</v>
      </c>
      <c r="V95" s="208">
        <f t="shared" si="23"/>
        <v>3.2127034628803224</v>
      </c>
      <c r="W95" s="155">
        <f t="shared" si="38"/>
        <v>22</v>
      </c>
      <c r="X95" s="155">
        <f t="shared" si="13"/>
        <v>6.4833464754253631</v>
      </c>
      <c r="Y95" s="208">
        <f t="shared" si="39"/>
        <v>22</v>
      </c>
      <c r="Z95" s="208">
        <f t="shared" si="24"/>
        <v>3.2127034628803224</v>
      </c>
    </row>
    <row r="96" spans="1:26" s="108" customFormat="1">
      <c r="A96" s="150">
        <v>1.21</v>
      </c>
      <c r="B96" s="151">
        <f t="shared" si="25"/>
        <v>1.1129508428256785</v>
      </c>
      <c r="C96" s="152">
        <f t="shared" si="15"/>
        <v>54.742857142857147</v>
      </c>
      <c r="D96" s="152">
        <f t="shared" si="16"/>
        <v>55.042857142857144</v>
      </c>
      <c r="E96" s="153">
        <f t="shared" si="17"/>
        <v>22</v>
      </c>
      <c r="F96" s="154">
        <f t="shared" si="26"/>
        <v>3.2700612873624642</v>
      </c>
      <c r="G96" s="155">
        <f t="shared" si="40"/>
        <v>22</v>
      </c>
      <c r="H96" s="155">
        <f t="shared" si="27"/>
        <v>10.652973631632817</v>
      </c>
      <c r="I96" s="206">
        <f t="shared" si="28"/>
        <v>22</v>
      </c>
      <c r="J96" s="206">
        <f t="shared" si="20"/>
        <v>3.2700612873624642</v>
      </c>
      <c r="K96" s="155">
        <f t="shared" si="29"/>
        <v>22</v>
      </c>
      <c r="L96" s="155">
        <f t="shared" si="30"/>
        <v>6.7927309599862742</v>
      </c>
      <c r="M96" s="208">
        <f t="shared" si="31"/>
        <v>22</v>
      </c>
      <c r="N96" s="208">
        <f t="shared" si="21"/>
        <v>3.2700612873624642</v>
      </c>
      <c r="O96" s="155">
        <f t="shared" si="32"/>
        <v>22</v>
      </c>
      <c r="P96" s="155">
        <f t="shared" si="33"/>
        <v>6.5671192054225163</v>
      </c>
      <c r="Q96" s="208">
        <f t="shared" si="34"/>
        <v>22</v>
      </c>
      <c r="R96" s="208">
        <f t="shared" si="22"/>
        <v>3.2700612873624642</v>
      </c>
      <c r="S96" s="155">
        <f t="shared" si="35"/>
        <v>22</v>
      </c>
      <c r="T96" s="155">
        <f t="shared" si="36"/>
        <v>6.5084241050560756</v>
      </c>
      <c r="U96" s="208">
        <f t="shared" si="37"/>
        <v>22</v>
      </c>
      <c r="V96" s="208">
        <f t="shared" si="23"/>
        <v>3.2700612873624642</v>
      </c>
      <c r="W96" s="155">
        <f t="shared" si="38"/>
        <v>22</v>
      </c>
      <c r="X96" s="155">
        <f t="shared" si="13"/>
        <v>6.5077482224124923</v>
      </c>
      <c r="Y96" s="208">
        <f t="shared" si="39"/>
        <v>22</v>
      </c>
      <c r="Z96" s="208">
        <f t="shared" si="24"/>
        <v>3.2700612873624642</v>
      </c>
    </row>
    <row r="97" spans="1:26" s="108" customFormat="1">
      <c r="A97" s="150">
        <v>1.22</v>
      </c>
      <c r="B97" s="151">
        <f t="shared" si="25"/>
        <v>1.1227547643943057</v>
      </c>
      <c r="C97" s="152">
        <f t="shared" si="15"/>
        <v>54.742857142857147</v>
      </c>
      <c r="D97" s="152">
        <f t="shared" si="16"/>
        <v>55.042857142857144</v>
      </c>
      <c r="E97" s="153">
        <f t="shared" si="17"/>
        <v>22</v>
      </c>
      <c r="F97" s="154">
        <f t="shared" si="26"/>
        <v>3.3279266089610977</v>
      </c>
      <c r="G97" s="155">
        <f t="shared" si="40"/>
        <v>22</v>
      </c>
      <c r="H97" s="155">
        <f t="shared" si="27"/>
        <v>10.707272274166753</v>
      </c>
      <c r="I97" s="206">
        <f t="shared" si="28"/>
        <v>22</v>
      </c>
      <c r="J97" s="206">
        <f t="shared" si="20"/>
        <v>3.3279266089610977</v>
      </c>
      <c r="K97" s="155">
        <f t="shared" si="29"/>
        <v>22</v>
      </c>
      <c r="L97" s="155">
        <f t="shared" si="30"/>
        <v>6.8200577277974705</v>
      </c>
      <c r="M97" s="208">
        <f t="shared" si="31"/>
        <v>22</v>
      </c>
      <c r="N97" s="208">
        <f t="shared" si="21"/>
        <v>3.3279266089610977</v>
      </c>
      <c r="O97" s="155">
        <f t="shared" si="32"/>
        <v>22</v>
      </c>
      <c r="P97" s="155">
        <f t="shared" si="33"/>
        <v>6.5924585719383533</v>
      </c>
      <c r="Q97" s="208">
        <f t="shared" si="34"/>
        <v>22</v>
      </c>
      <c r="R97" s="208">
        <f t="shared" si="22"/>
        <v>3.3279266089610977</v>
      </c>
      <c r="S97" s="155">
        <f t="shared" si="35"/>
        <v>22</v>
      </c>
      <c r="T97" s="155">
        <f t="shared" si="36"/>
        <v>6.5328318058555128</v>
      </c>
      <c r="U97" s="208">
        <f t="shared" si="37"/>
        <v>22</v>
      </c>
      <c r="V97" s="208">
        <f t="shared" si="23"/>
        <v>3.3279266089610977</v>
      </c>
      <c r="W97" s="155">
        <f t="shared" si="38"/>
        <v>22</v>
      </c>
      <c r="X97" s="155">
        <f t="shared" si="13"/>
        <v>6.5321499693996197</v>
      </c>
      <c r="Y97" s="208">
        <f t="shared" si="39"/>
        <v>22</v>
      </c>
      <c r="Z97" s="208">
        <f t="shared" si="24"/>
        <v>3.3279266089610977</v>
      </c>
    </row>
    <row r="98" spans="1:26" s="108" customFormat="1">
      <c r="A98" s="150">
        <v>1.23</v>
      </c>
      <c r="B98" s="151">
        <f t="shared" si="25"/>
        <v>1.1325586859629333</v>
      </c>
      <c r="C98" s="152">
        <f t="shared" si="15"/>
        <v>54.742857142857147</v>
      </c>
      <c r="D98" s="152">
        <f t="shared" si="16"/>
        <v>55.042857142857144</v>
      </c>
      <c r="E98" s="153">
        <f t="shared" si="17"/>
        <v>22</v>
      </c>
      <c r="F98" s="154">
        <f t="shared" si="26"/>
        <v>3.3862994276762275</v>
      </c>
      <c r="G98" s="155">
        <f t="shared" si="40"/>
        <v>22</v>
      </c>
      <c r="H98" s="155">
        <f t="shared" si="27"/>
        <v>10.761570916700689</v>
      </c>
      <c r="I98" s="206">
        <f t="shared" si="28"/>
        <v>22</v>
      </c>
      <c r="J98" s="206">
        <f t="shared" si="20"/>
        <v>3.3862994276762275</v>
      </c>
      <c r="K98" s="155">
        <f t="shared" si="29"/>
        <v>22</v>
      </c>
      <c r="L98" s="155">
        <f t="shared" si="30"/>
        <v>6.8473844956086678</v>
      </c>
      <c r="M98" s="208">
        <f t="shared" si="31"/>
        <v>22</v>
      </c>
      <c r="N98" s="208">
        <f t="shared" si="21"/>
        <v>3.3862994276762275</v>
      </c>
      <c r="O98" s="155">
        <f t="shared" si="32"/>
        <v>22</v>
      </c>
      <c r="P98" s="155">
        <f t="shared" si="33"/>
        <v>6.6177979384541903</v>
      </c>
      <c r="Q98" s="208">
        <f t="shared" si="34"/>
        <v>22</v>
      </c>
      <c r="R98" s="208">
        <f t="shared" si="22"/>
        <v>3.3862994276762275</v>
      </c>
      <c r="S98" s="155">
        <f t="shared" si="35"/>
        <v>22</v>
      </c>
      <c r="T98" s="155">
        <f t="shared" si="36"/>
        <v>6.55723950665495</v>
      </c>
      <c r="U98" s="208">
        <f t="shared" si="37"/>
        <v>22</v>
      </c>
      <c r="V98" s="208">
        <f t="shared" si="23"/>
        <v>3.3862994276762275</v>
      </c>
      <c r="W98" s="155">
        <f t="shared" si="38"/>
        <v>22</v>
      </c>
      <c r="X98" s="155">
        <f t="shared" si="13"/>
        <v>6.5565517163867479</v>
      </c>
      <c r="Y98" s="208">
        <f t="shared" si="39"/>
        <v>22</v>
      </c>
      <c r="Z98" s="208">
        <f t="shared" si="24"/>
        <v>3.3862994276762275</v>
      </c>
    </row>
    <row r="99" spans="1:26" s="108" customFormat="1">
      <c r="A99" s="150">
        <v>1.24</v>
      </c>
      <c r="B99" s="151">
        <f t="shared" si="25"/>
        <v>1.1423626075315607</v>
      </c>
      <c r="C99" s="152">
        <f t="shared" si="15"/>
        <v>54.742857142857147</v>
      </c>
      <c r="D99" s="152">
        <f t="shared" si="16"/>
        <v>55.042857142857144</v>
      </c>
      <c r="E99" s="153">
        <f t="shared" si="17"/>
        <v>22</v>
      </c>
      <c r="F99" s="154">
        <f t="shared" si="26"/>
        <v>3.4451797435078499</v>
      </c>
      <c r="G99" s="155">
        <f t="shared" si="40"/>
        <v>22</v>
      </c>
      <c r="H99" s="155">
        <f t="shared" si="27"/>
        <v>10.815869559234628</v>
      </c>
      <c r="I99" s="206">
        <f t="shared" si="28"/>
        <v>22</v>
      </c>
      <c r="J99" s="206">
        <f t="shared" si="20"/>
        <v>3.4451797435078499</v>
      </c>
      <c r="K99" s="155">
        <f t="shared" si="29"/>
        <v>22</v>
      </c>
      <c r="L99" s="155">
        <f t="shared" si="30"/>
        <v>6.8747112634198642</v>
      </c>
      <c r="M99" s="208">
        <f t="shared" si="31"/>
        <v>22</v>
      </c>
      <c r="N99" s="208">
        <f t="shared" si="21"/>
        <v>3.4451797435078499</v>
      </c>
      <c r="O99" s="155">
        <f t="shared" si="32"/>
        <v>22</v>
      </c>
      <c r="P99" s="155">
        <f t="shared" si="33"/>
        <v>6.6431373049700282</v>
      </c>
      <c r="Q99" s="208">
        <f t="shared" si="34"/>
        <v>22</v>
      </c>
      <c r="R99" s="208">
        <f t="shared" si="22"/>
        <v>3.4451797435078499</v>
      </c>
      <c r="S99" s="155">
        <f t="shared" si="35"/>
        <v>22</v>
      </c>
      <c r="T99" s="155">
        <f t="shared" si="36"/>
        <v>6.5816472074543872</v>
      </c>
      <c r="U99" s="208">
        <f t="shared" si="37"/>
        <v>22</v>
      </c>
      <c r="V99" s="208">
        <f t="shared" si="23"/>
        <v>3.4451797435078499</v>
      </c>
      <c r="W99" s="155">
        <f t="shared" si="38"/>
        <v>22</v>
      </c>
      <c r="X99" s="155">
        <f t="shared" si="13"/>
        <v>6.5809534633738762</v>
      </c>
      <c r="Y99" s="208">
        <f t="shared" si="39"/>
        <v>22</v>
      </c>
      <c r="Z99" s="208">
        <f t="shared" si="24"/>
        <v>3.4451797435078499</v>
      </c>
    </row>
    <row r="100" spans="1:26" s="108" customFormat="1">
      <c r="A100" s="150">
        <v>1.25</v>
      </c>
      <c r="B100" s="151">
        <f t="shared" si="25"/>
        <v>1.1521665291001881</v>
      </c>
      <c r="C100" s="152">
        <f t="shared" si="15"/>
        <v>54.742857142857147</v>
      </c>
      <c r="D100" s="152">
        <f t="shared" si="16"/>
        <v>55.042857142857144</v>
      </c>
      <c r="E100" s="153">
        <f t="shared" si="17"/>
        <v>22</v>
      </c>
      <c r="F100" s="154">
        <f t="shared" si="26"/>
        <v>3.5045675564559646</v>
      </c>
      <c r="G100" s="155">
        <f t="shared" si="40"/>
        <v>22</v>
      </c>
      <c r="H100" s="155">
        <f t="shared" si="27"/>
        <v>10.870168201768562</v>
      </c>
      <c r="I100" s="206">
        <f t="shared" si="28"/>
        <v>22</v>
      </c>
      <c r="J100" s="206">
        <f t="shared" si="20"/>
        <v>3.5045675564559646</v>
      </c>
      <c r="K100" s="155">
        <f t="shared" si="29"/>
        <v>22</v>
      </c>
      <c r="L100" s="155">
        <f t="shared" si="30"/>
        <v>6.9020380312310605</v>
      </c>
      <c r="M100" s="208">
        <f t="shared" si="31"/>
        <v>22</v>
      </c>
      <c r="N100" s="208">
        <f t="shared" si="21"/>
        <v>3.5045675564559646</v>
      </c>
      <c r="O100" s="155">
        <f t="shared" si="32"/>
        <v>22</v>
      </c>
      <c r="P100" s="155">
        <f t="shared" si="33"/>
        <v>6.6684766714858643</v>
      </c>
      <c r="Q100" s="208">
        <f t="shared" si="34"/>
        <v>22</v>
      </c>
      <c r="R100" s="208">
        <f t="shared" si="22"/>
        <v>3.5045675564559646</v>
      </c>
      <c r="S100" s="155">
        <f t="shared" si="35"/>
        <v>22</v>
      </c>
      <c r="T100" s="155">
        <f t="shared" si="36"/>
        <v>6.6060549082538236</v>
      </c>
      <c r="U100" s="208">
        <f t="shared" si="37"/>
        <v>22</v>
      </c>
      <c r="V100" s="208">
        <f t="shared" si="23"/>
        <v>3.5045675564559646</v>
      </c>
      <c r="W100" s="155">
        <f t="shared" si="38"/>
        <v>22</v>
      </c>
      <c r="X100" s="155">
        <f t="shared" si="13"/>
        <v>6.6053552103610036</v>
      </c>
      <c r="Y100" s="208">
        <f t="shared" si="39"/>
        <v>22</v>
      </c>
      <c r="Z100" s="208">
        <f t="shared" si="24"/>
        <v>3.5045675564559646</v>
      </c>
    </row>
    <row r="101" spans="1:26" s="108" customFormat="1">
      <c r="A101" s="150">
        <v>1.26</v>
      </c>
      <c r="B101" s="151">
        <f t="shared" si="25"/>
        <v>1.1619704506688158</v>
      </c>
      <c r="C101" s="152">
        <f t="shared" si="15"/>
        <v>54.179327731092442</v>
      </c>
      <c r="D101" s="152">
        <f t="shared" si="16"/>
        <v>54.47932773109244</v>
      </c>
      <c r="E101" s="153">
        <f t="shared" si="17"/>
        <v>22</v>
      </c>
      <c r="F101" s="154">
        <f t="shared" si="26"/>
        <v>3.564462866520576</v>
      </c>
      <c r="G101" s="155">
        <f t="shared" si="40"/>
        <v>22</v>
      </c>
      <c r="H101" s="155">
        <f t="shared" si="27"/>
        <v>10.924466844302501</v>
      </c>
      <c r="I101" s="206">
        <f t="shared" si="28"/>
        <v>22</v>
      </c>
      <c r="J101" s="206">
        <f t="shared" si="20"/>
        <v>3.564462866520576</v>
      </c>
      <c r="K101" s="155">
        <f t="shared" si="29"/>
        <v>22</v>
      </c>
      <c r="L101" s="155">
        <f t="shared" si="30"/>
        <v>6.9293647990422587</v>
      </c>
      <c r="M101" s="208">
        <f t="shared" si="31"/>
        <v>22</v>
      </c>
      <c r="N101" s="208">
        <f t="shared" si="21"/>
        <v>3.564462866520576</v>
      </c>
      <c r="O101" s="155">
        <f t="shared" si="32"/>
        <v>22</v>
      </c>
      <c r="P101" s="155">
        <f t="shared" si="33"/>
        <v>6.6938160380017022</v>
      </c>
      <c r="Q101" s="208">
        <f t="shared" si="34"/>
        <v>22</v>
      </c>
      <c r="R101" s="208">
        <f t="shared" si="22"/>
        <v>3.564462866520576</v>
      </c>
      <c r="S101" s="155">
        <f t="shared" si="35"/>
        <v>22</v>
      </c>
      <c r="T101" s="155">
        <f t="shared" si="36"/>
        <v>6.6304626090532617</v>
      </c>
      <c r="U101" s="208">
        <f t="shared" si="37"/>
        <v>22</v>
      </c>
      <c r="V101" s="208">
        <f t="shared" si="23"/>
        <v>3.564462866520576</v>
      </c>
      <c r="W101" s="155">
        <f t="shared" si="38"/>
        <v>22</v>
      </c>
      <c r="X101" s="155">
        <f t="shared" si="13"/>
        <v>6.6297569573481328</v>
      </c>
      <c r="Y101" s="208">
        <f t="shared" si="39"/>
        <v>22</v>
      </c>
      <c r="Z101" s="208">
        <f t="shared" si="24"/>
        <v>3.564462866520576</v>
      </c>
    </row>
    <row r="102" spans="1:26" s="108" customFormat="1">
      <c r="A102" s="150">
        <v>1.27</v>
      </c>
      <c r="B102" s="151">
        <f t="shared" si="25"/>
        <v>1.1717743722374432</v>
      </c>
      <c r="C102" s="152">
        <f t="shared" si="15"/>
        <v>53.61579831932773</v>
      </c>
      <c r="D102" s="152">
        <f t="shared" si="16"/>
        <v>53.915798319327727</v>
      </c>
      <c r="E102" s="153">
        <f t="shared" si="17"/>
        <v>22</v>
      </c>
      <c r="F102" s="154">
        <f t="shared" si="26"/>
        <v>3.6248656737016787</v>
      </c>
      <c r="G102" s="155">
        <f t="shared" si="40"/>
        <v>22</v>
      </c>
      <c r="H102" s="155">
        <f t="shared" si="27"/>
        <v>10.978765486836437</v>
      </c>
      <c r="I102" s="206">
        <f t="shared" si="28"/>
        <v>22</v>
      </c>
      <c r="J102" s="206">
        <f t="shared" si="20"/>
        <v>3.6248656737016787</v>
      </c>
      <c r="K102" s="155">
        <f t="shared" si="29"/>
        <v>22</v>
      </c>
      <c r="L102" s="155">
        <f t="shared" si="30"/>
        <v>6.956691566853455</v>
      </c>
      <c r="M102" s="208">
        <f t="shared" si="31"/>
        <v>22</v>
      </c>
      <c r="N102" s="208">
        <f t="shared" si="21"/>
        <v>3.6248656737016787</v>
      </c>
      <c r="O102" s="155">
        <f t="shared" si="32"/>
        <v>22</v>
      </c>
      <c r="P102" s="155">
        <f t="shared" si="33"/>
        <v>6.7191554045175392</v>
      </c>
      <c r="Q102" s="208">
        <f t="shared" si="34"/>
        <v>22</v>
      </c>
      <c r="R102" s="208">
        <f t="shared" si="22"/>
        <v>3.6248656737016787</v>
      </c>
      <c r="S102" s="155">
        <f t="shared" si="35"/>
        <v>22</v>
      </c>
      <c r="T102" s="155">
        <f t="shared" si="36"/>
        <v>6.654870309852698</v>
      </c>
      <c r="U102" s="208">
        <f t="shared" si="37"/>
        <v>22</v>
      </c>
      <c r="V102" s="208">
        <f t="shared" si="23"/>
        <v>3.6248656737016787</v>
      </c>
      <c r="W102" s="155">
        <f t="shared" si="38"/>
        <v>22</v>
      </c>
      <c r="X102" s="155">
        <f t="shared" si="13"/>
        <v>6.6541587043352601</v>
      </c>
      <c r="Y102" s="208">
        <f t="shared" si="39"/>
        <v>22</v>
      </c>
      <c r="Z102" s="208">
        <f t="shared" si="24"/>
        <v>3.6248656737016787</v>
      </c>
    </row>
    <row r="103" spans="1:26" s="108" customFormat="1">
      <c r="A103" s="150">
        <v>1.28</v>
      </c>
      <c r="B103" s="151">
        <f t="shared" si="25"/>
        <v>1.1815782938060706</v>
      </c>
      <c r="C103" s="152">
        <f t="shared" si="15"/>
        <v>53.052268907563032</v>
      </c>
      <c r="D103" s="152">
        <f t="shared" si="16"/>
        <v>53.35226890756303</v>
      </c>
      <c r="E103" s="153">
        <f t="shared" si="17"/>
        <v>22</v>
      </c>
      <c r="F103" s="154">
        <f t="shared" si="26"/>
        <v>3.6857759779992758</v>
      </c>
      <c r="G103" s="155">
        <f t="shared" si="40"/>
        <v>22</v>
      </c>
      <c r="H103" s="155">
        <f t="shared" si="27"/>
        <v>11.033064129370374</v>
      </c>
      <c r="I103" s="206">
        <f t="shared" si="28"/>
        <v>22</v>
      </c>
      <c r="J103" s="206">
        <f t="shared" si="20"/>
        <v>3.6857759779992758</v>
      </c>
      <c r="K103" s="155">
        <f t="shared" si="29"/>
        <v>22</v>
      </c>
      <c r="L103" s="155">
        <f t="shared" si="30"/>
        <v>6.9840183346646532</v>
      </c>
      <c r="M103" s="208">
        <f t="shared" si="31"/>
        <v>22</v>
      </c>
      <c r="N103" s="208">
        <f t="shared" si="21"/>
        <v>3.6857759779992758</v>
      </c>
      <c r="O103" s="155">
        <f t="shared" si="32"/>
        <v>22</v>
      </c>
      <c r="P103" s="155">
        <f t="shared" si="33"/>
        <v>6.7444947710333762</v>
      </c>
      <c r="Q103" s="208">
        <f t="shared" si="34"/>
        <v>22</v>
      </c>
      <c r="R103" s="208">
        <f t="shared" si="22"/>
        <v>3.6857759779992758</v>
      </c>
      <c r="S103" s="155">
        <f t="shared" si="35"/>
        <v>22</v>
      </c>
      <c r="T103" s="155">
        <f t="shared" si="36"/>
        <v>6.6792780106521361</v>
      </c>
      <c r="U103" s="208">
        <f t="shared" si="37"/>
        <v>22</v>
      </c>
      <c r="V103" s="208">
        <f t="shared" si="23"/>
        <v>3.6857759779992758</v>
      </c>
      <c r="W103" s="155">
        <f t="shared" si="38"/>
        <v>22</v>
      </c>
      <c r="X103" s="155">
        <f t="shared" si="13"/>
        <v>6.6785604513223893</v>
      </c>
      <c r="Y103" s="208">
        <f t="shared" si="39"/>
        <v>22</v>
      </c>
      <c r="Z103" s="208">
        <f t="shared" si="24"/>
        <v>3.6857759779992758</v>
      </c>
    </row>
    <row r="104" spans="1:26" s="108" customFormat="1">
      <c r="A104" s="150">
        <v>1.29</v>
      </c>
      <c r="B104" s="151">
        <f t="shared" si="25"/>
        <v>1.191382215374698</v>
      </c>
      <c r="C104" s="152">
        <f t="shared" si="15"/>
        <v>52.48873949579832</v>
      </c>
      <c r="D104" s="152">
        <f t="shared" si="16"/>
        <v>52.788739495798318</v>
      </c>
      <c r="E104" s="153">
        <f t="shared" si="17"/>
        <v>22</v>
      </c>
      <c r="F104" s="154">
        <f t="shared" si="26"/>
        <v>3.7471937794133656</v>
      </c>
      <c r="G104" s="155">
        <f t="shared" si="40"/>
        <v>22</v>
      </c>
      <c r="H104" s="155">
        <f t="shared" si="27"/>
        <v>11.08736277190431</v>
      </c>
      <c r="I104" s="206">
        <f t="shared" si="28"/>
        <v>22</v>
      </c>
      <c r="J104" s="206">
        <f t="shared" si="20"/>
        <v>3.7471937794133656</v>
      </c>
      <c r="K104" s="155">
        <f t="shared" si="29"/>
        <v>22</v>
      </c>
      <c r="L104" s="155">
        <f t="shared" si="30"/>
        <v>7.0113451024758495</v>
      </c>
      <c r="M104" s="208">
        <f t="shared" si="31"/>
        <v>22</v>
      </c>
      <c r="N104" s="208">
        <f t="shared" si="21"/>
        <v>3.7471937794133656</v>
      </c>
      <c r="O104" s="155">
        <f t="shared" si="32"/>
        <v>22</v>
      </c>
      <c r="P104" s="155">
        <f t="shared" si="33"/>
        <v>6.7698341375492133</v>
      </c>
      <c r="Q104" s="208">
        <f t="shared" si="34"/>
        <v>22</v>
      </c>
      <c r="R104" s="208">
        <f t="shared" si="22"/>
        <v>3.7471937794133656</v>
      </c>
      <c r="S104" s="155">
        <f t="shared" si="35"/>
        <v>22</v>
      </c>
      <c r="T104" s="155">
        <f t="shared" si="36"/>
        <v>6.7036857114515724</v>
      </c>
      <c r="U104" s="208">
        <f t="shared" si="37"/>
        <v>22</v>
      </c>
      <c r="V104" s="208">
        <f t="shared" si="23"/>
        <v>3.7471937794133656</v>
      </c>
      <c r="W104" s="155">
        <f t="shared" si="38"/>
        <v>22</v>
      </c>
      <c r="X104" s="155">
        <f t="shared" si="13"/>
        <v>6.7029621983095167</v>
      </c>
      <c r="Y104" s="208">
        <f t="shared" si="39"/>
        <v>22</v>
      </c>
      <c r="Z104" s="208">
        <f t="shared" si="24"/>
        <v>3.7471937794133656</v>
      </c>
    </row>
    <row r="105" spans="1:26" s="108" customFormat="1">
      <c r="A105" s="150">
        <v>1.3</v>
      </c>
      <c r="B105" s="151">
        <f t="shared" si="25"/>
        <v>1.2011861369433257</v>
      </c>
      <c r="C105" s="152">
        <f t="shared" si="15"/>
        <v>51.925210084033615</v>
      </c>
      <c r="D105" s="152">
        <f t="shared" si="16"/>
        <v>52.225210084033613</v>
      </c>
      <c r="E105" s="153">
        <f t="shared" si="17"/>
        <v>22</v>
      </c>
      <c r="F105" s="154">
        <f t="shared" si="26"/>
        <v>3.8091190779439512</v>
      </c>
      <c r="G105" s="155">
        <f t="shared" si="40"/>
        <v>22</v>
      </c>
      <c r="H105" s="155">
        <f t="shared" si="27"/>
        <v>11.141661414438248</v>
      </c>
      <c r="I105" s="206">
        <f t="shared" si="28"/>
        <v>22</v>
      </c>
      <c r="J105" s="206">
        <f t="shared" si="20"/>
        <v>3.8091190779439512</v>
      </c>
      <c r="K105" s="155">
        <f t="shared" si="29"/>
        <v>22</v>
      </c>
      <c r="L105" s="155">
        <f t="shared" si="30"/>
        <v>7.0386718702870468</v>
      </c>
      <c r="M105" s="208">
        <f t="shared" si="31"/>
        <v>22</v>
      </c>
      <c r="N105" s="208">
        <f t="shared" si="21"/>
        <v>3.8091190779439512</v>
      </c>
      <c r="O105" s="155">
        <f t="shared" si="32"/>
        <v>22</v>
      </c>
      <c r="P105" s="155">
        <f t="shared" si="33"/>
        <v>6.7951735040650521</v>
      </c>
      <c r="Q105" s="208">
        <f t="shared" si="34"/>
        <v>22</v>
      </c>
      <c r="R105" s="208">
        <f t="shared" si="22"/>
        <v>3.8091190779439512</v>
      </c>
      <c r="S105" s="155">
        <f t="shared" si="35"/>
        <v>22</v>
      </c>
      <c r="T105" s="155">
        <f t="shared" si="36"/>
        <v>6.7280934122510105</v>
      </c>
      <c r="U105" s="208">
        <f t="shared" si="37"/>
        <v>22</v>
      </c>
      <c r="V105" s="208">
        <f t="shared" si="23"/>
        <v>3.8091190779439512</v>
      </c>
      <c r="W105" s="155">
        <f t="shared" si="38"/>
        <v>22</v>
      </c>
      <c r="X105" s="155">
        <f t="shared" si="13"/>
        <v>6.7273639452966458</v>
      </c>
      <c r="Y105" s="208">
        <f t="shared" si="39"/>
        <v>22</v>
      </c>
      <c r="Z105" s="208">
        <f t="shared" si="24"/>
        <v>3.8091190779439512</v>
      </c>
    </row>
    <row r="106" spans="1:26" s="108" customFormat="1">
      <c r="A106" s="150">
        <v>1.31</v>
      </c>
      <c r="B106" s="151">
        <f t="shared" si="25"/>
        <v>1.2109900585119528</v>
      </c>
      <c r="C106" s="152">
        <f t="shared" si="15"/>
        <v>51.361680672268911</v>
      </c>
      <c r="D106" s="152">
        <f t="shared" si="16"/>
        <v>51.661680672268908</v>
      </c>
      <c r="E106" s="153">
        <f t="shared" si="17"/>
        <v>22</v>
      </c>
      <c r="F106" s="154">
        <f t="shared" si="26"/>
        <v>3.8715518735910268</v>
      </c>
      <c r="G106" s="155">
        <f t="shared" si="40"/>
        <v>22</v>
      </c>
      <c r="H106" s="155">
        <f t="shared" si="27"/>
        <v>11.195960056972183</v>
      </c>
      <c r="I106" s="206">
        <f t="shared" si="28"/>
        <v>22</v>
      </c>
      <c r="J106" s="206">
        <f t="shared" si="20"/>
        <v>3.8715518735910268</v>
      </c>
      <c r="K106" s="155">
        <f t="shared" si="29"/>
        <v>22</v>
      </c>
      <c r="L106" s="155">
        <f t="shared" si="30"/>
        <v>7.0659986380982422</v>
      </c>
      <c r="M106" s="208">
        <f t="shared" si="31"/>
        <v>22</v>
      </c>
      <c r="N106" s="208">
        <f t="shared" si="21"/>
        <v>3.8715518735910268</v>
      </c>
      <c r="O106" s="155">
        <f t="shared" si="32"/>
        <v>22</v>
      </c>
      <c r="P106" s="155">
        <f t="shared" si="33"/>
        <v>6.8205128705808873</v>
      </c>
      <c r="Q106" s="208">
        <f t="shared" si="34"/>
        <v>22</v>
      </c>
      <c r="R106" s="208">
        <f t="shared" si="22"/>
        <v>3.8715518735910268</v>
      </c>
      <c r="S106" s="155">
        <f t="shared" si="35"/>
        <v>22</v>
      </c>
      <c r="T106" s="155">
        <f t="shared" si="36"/>
        <v>6.7525011130504469</v>
      </c>
      <c r="U106" s="208">
        <f t="shared" si="37"/>
        <v>22</v>
      </c>
      <c r="V106" s="208">
        <f t="shared" si="23"/>
        <v>3.8715518735910268</v>
      </c>
      <c r="W106" s="155">
        <f t="shared" si="38"/>
        <v>22</v>
      </c>
      <c r="X106" s="155">
        <f t="shared" si="13"/>
        <v>6.7517656922837732</v>
      </c>
      <c r="Y106" s="208">
        <f t="shared" si="39"/>
        <v>22</v>
      </c>
      <c r="Z106" s="208">
        <f t="shared" si="24"/>
        <v>3.8715518735910268</v>
      </c>
    </row>
    <row r="107" spans="1:26" s="108" customFormat="1">
      <c r="A107" s="150">
        <v>1.32</v>
      </c>
      <c r="B107" s="151">
        <f t="shared" si="25"/>
        <v>1.2207939800805805</v>
      </c>
      <c r="C107" s="152">
        <f t="shared" si="15"/>
        <v>50.798151260504198</v>
      </c>
      <c r="D107" s="152">
        <f t="shared" si="16"/>
        <v>51.098151260504196</v>
      </c>
      <c r="E107" s="153">
        <f t="shared" si="17"/>
        <v>22</v>
      </c>
      <c r="F107" s="154">
        <f t="shared" si="26"/>
        <v>3.9344921663546004</v>
      </c>
      <c r="G107" s="155">
        <f t="shared" si="40"/>
        <v>22</v>
      </c>
      <c r="H107" s="155">
        <f t="shared" si="27"/>
        <v>11.250258699506121</v>
      </c>
      <c r="I107" s="206">
        <f t="shared" si="28"/>
        <v>22</v>
      </c>
      <c r="J107" s="206">
        <f t="shared" si="20"/>
        <v>3.9344921663546004</v>
      </c>
      <c r="K107" s="155">
        <f t="shared" si="29"/>
        <v>22</v>
      </c>
      <c r="L107" s="155">
        <f t="shared" si="30"/>
        <v>7.0933254059094404</v>
      </c>
      <c r="M107" s="208">
        <f t="shared" si="31"/>
        <v>22</v>
      </c>
      <c r="N107" s="208">
        <f t="shared" si="21"/>
        <v>3.9344921663546004</v>
      </c>
      <c r="O107" s="155">
        <f t="shared" si="32"/>
        <v>22</v>
      </c>
      <c r="P107" s="155">
        <f t="shared" si="33"/>
        <v>6.8458522370967261</v>
      </c>
      <c r="Q107" s="208">
        <f t="shared" si="34"/>
        <v>22</v>
      </c>
      <c r="R107" s="208">
        <f t="shared" si="22"/>
        <v>3.9344921663546004</v>
      </c>
      <c r="S107" s="155">
        <f t="shared" si="35"/>
        <v>22</v>
      </c>
      <c r="T107" s="155">
        <f t="shared" si="36"/>
        <v>6.776908813849885</v>
      </c>
      <c r="U107" s="208">
        <f t="shared" si="37"/>
        <v>22</v>
      </c>
      <c r="V107" s="208">
        <f t="shared" si="23"/>
        <v>3.9344921663546004</v>
      </c>
      <c r="W107" s="155">
        <f t="shared" si="38"/>
        <v>22</v>
      </c>
      <c r="X107" s="155">
        <f t="shared" si="13"/>
        <v>6.7761674392709024</v>
      </c>
      <c r="Y107" s="208">
        <f t="shared" si="39"/>
        <v>22</v>
      </c>
      <c r="Z107" s="208">
        <f t="shared" si="24"/>
        <v>3.9344921663546004</v>
      </c>
    </row>
    <row r="108" spans="1:26" s="108" customFormat="1">
      <c r="A108" s="150">
        <v>1.33</v>
      </c>
      <c r="B108" s="151">
        <f t="shared" si="25"/>
        <v>1.2305979016492079</v>
      </c>
      <c r="C108" s="152">
        <f t="shared" si="15"/>
        <v>50.234621848739501</v>
      </c>
      <c r="D108" s="152">
        <f t="shared" si="16"/>
        <v>50.534621848739498</v>
      </c>
      <c r="E108" s="153">
        <f t="shared" si="17"/>
        <v>22</v>
      </c>
      <c r="F108" s="154">
        <f t="shared" si="26"/>
        <v>3.9979399562346649</v>
      </c>
      <c r="G108" s="155">
        <f t="shared" si="40"/>
        <v>22</v>
      </c>
      <c r="H108" s="155">
        <f t="shared" si="27"/>
        <v>11.304557342040056</v>
      </c>
      <c r="I108" s="206">
        <f t="shared" si="28"/>
        <v>22</v>
      </c>
      <c r="J108" s="206">
        <f t="shared" si="20"/>
        <v>3.9979399562346649</v>
      </c>
      <c r="K108" s="155">
        <f t="shared" si="29"/>
        <v>22</v>
      </c>
      <c r="L108" s="155">
        <f t="shared" si="30"/>
        <v>7.1206521737206367</v>
      </c>
      <c r="M108" s="208">
        <f t="shared" si="31"/>
        <v>22</v>
      </c>
      <c r="N108" s="208">
        <f t="shared" si="21"/>
        <v>3.9979399562346649</v>
      </c>
      <c r="O108" s="155">
        <f t="shared" si="32"/>
        <v>22</v>
      </c>
      <c r="P108" s="155">
        <f t="shared" si="33"/>
        <v>6.8711916036125613</v>
      </c>
      <c r="Q108" s="208">
        <f t="shared" si="34"/>
        <v>22</v>
      </c>
      <c r="R108" s="208">
        <f t="shared" si="22"/>
        <v>3.9979399562346649</v>
      </c>
      <c r="S108" s="155">
        <f t="shared" si="35"/>
        <v>22</v>
      </c>
      <c r="T108" s="155">
        <f t="shared" si="36"/>
        <v>6.8013165146493213</v>
      </c>
      <c r="U108" s="208">
        <f t="shared" si="37"/>
        <v>22</v>
      </c>
      <c r="V108" s="208">
        <f t="shared" si="23"/>
        <v>3.9979399562346649</v>
      </c>
      <c r="W108" s="155">
        <f t="shared" si="38"/>
        <v>22</v>
      </c>
      <c r="X108" s="155">
        <f t="shared" si="13"/>
        <v>6.8005691862580298</v>
      </c>
      <c r="Y108" s="208">
        <f t="shared" si="39"/>
        <v>22</v>
      </c>
      <c r="Z108" s="208">
        <f t="shared" si="24"/>
        <v>3.9979399562346649</v>
      </c>
    </row>
    <row r="109" spans="1:26" s="108" customFormat="1">
      <c r="A109" s="150">
        <v>1.34</v>
      </c>
      <c r="B109" s="151">
        <f t="shared" si="25"/>
        <v>1.2404018232178353</v>
      </c>
      <c r="C109" s="152">
        <f t="shared" si="15"/>
        <v>49.671092436974789</v>
      </c>
      <c r="D109" s="152">
        <f t="shared" si="16"/>
        <v>49.971092436974786</v>
      </c>
      <c r="E109" s="153">
        <f t="shared" si="17"/>
        <v>22</v>
      </c>
      <c r="F109" s="154">
        <f t="shared" si="26"/>
        <v>4.0618952432312234</v>
      </c>
      <c r="G109" s="155">
        <f t="shared" si="40"/>
        <v>22</v>
      </c>
      <c r="H109" s="155">
        <f t="shared" si="27"/>
        <v>11.358855984573994</v>
      </c>
      <c r="I109" s="206">
        <f t="shared" si="28"/>
        <v>22</v>
      </c>
      <c r="J109" s="206">
        <f t="shared" si="20"/>
        <v>4.0618952432312234</v>
      </c>
      <c r="K109" s="155">
        <f t="shared" si="29"/>
        <v>22</v>
      </c>
      <c r="L109" s="155">
        <f t="shared" si="30"/>
        <v>7.147978941531834</v>
      </c>
      <c r="M109" s="208">
        <f t="shared" si="31"/>
        <v>22</v>
      </c>
      <c r="N109" s="208">
        <f t="shared" si="21"/>
        <v>4.0618952432312234</v>
      </c>
      <c r="O109" s="155">
        <f t="shared" si="32"/>
        <v>22</v>
      </c>
      <c r="P109" s="155">
        <f t="shared" si="33"/>
        <v>6.8965309701284001</v>
      </c>
      <c r="Q109" s="208">
        <f t="shared" si="34"/>
        <v>22</v>
      </c>
      <c r="R109" s="208">
        <f t="shared" si="22"/>
        <v>4.0618952432312234</v>
      </c>
      <c r="S109" s="155">
        <f t="shared" si="35"/>
        <v>22</v>
      </c>
      <c r="T109" s="155">
        <f t="shared" si="36"/>
        <v>6.8257242154487594</v>
      </c>
      <c r="U109" s="208">
        <f t="shared" si="37"/>
        <v>22</v>
      </c>
      <c r="V109" s="208">
        <f t="shared" si="23"/>
        <v>4.0618952432312234</v>
      </c>
      <c r="W109" s="155">
        <f t="shared" si="38"/>
        <v>22</v>
      </c>
      <c r="X109" s="155">
        <f t="shared" si="13"/>
        <v>6.8249709332451589</v>
      </c>
      <c r="Y109" s="208">
        <f t="shared" si="39"/>
        <v>22</v>
      </c>
      <c r="Z109" s="208">
        <f t="shared" si="24"/>
        <v>4.0618952432312234</v>
      </c>
    </row>
    <row r="110" spans="1:26" s="108" customFormat="1">
      <c r="A110" s="150">
        <v>1.35</v>
      </c>
      <c r="B110" s="151">
        <f t="shared" si="25"/>
        <v>1.2502057447864627</v>
      </c>
      <c r="C110" s="152">
        <f t="shared" si="15"/>
        <v>49.107563025210084</v>
      </c>
      <c r="D110" s="152">
        <f t="shared" si="16"/>
        <v>49.407563025210081</v>
      </c>
      <c r="E110" s="153">
        <f t="shared" si="17"/>
        <v>22</v>
      </c>
      <c r="F110" s="154">
        <f t="shared" si="26"/>
        <v>4.126358027344275</v>
      </c>
      <c r="G110" s="155">
        <f t="shared" si="40"/>
        <v>22</v>
      </c>
      <c r="H110" s="155">
        <f t="shared" si="27"/>
        <v>11.413154627107929</v>
      </c>
      <c r="I110" s="206">
        <f t="shared" si="28"/>
        <v>22</v>
      </c>
      <c r="J110" s="206">
        <f t="shared" si="20"/>
        <v>4.126358027344275</v>
      </c>
      <c r="K110" s="155">
        <f t="shared" si="29"/>
        <v>22</v>
      </c>
      <c r="L110" s="155">
        <f t="shared" si="30"/>
        <v>7.1753057093430304</v>
      </c>
      <c r="M110" s="208">
        <f t="shared" si="31"/>
        <v>22</v>
      </c>
      <c r="N110" s="208">
        <f t="shared" si="21"/>
        <v>4.126358027344275</v>
      </c>
      <c r="O110" s="155">
        <f t="shared" si="32"/>
        <v>22</v>
      </c>
      <c r="P110" s="155">
        <f t="shared" si="33"/>
        <v>6.9218703366442353</v>
      </c>
      <c r="Q110" s="208">
        <f t="shared" si="34"/>
        <v>22</v>
      </c>
      <c r="R110" s="208">
        <f t="shared" si="22"/>
        <v>4.126358027344275</v>
      </c>
      <c r="S110" s="155">
        <f t="shared" si="35"/>
        <v>22</v>
      </c>
      <c r="T110" s="155">
        <f t="shared" si="36"/>
        <v>6.8501319162481957</v>
      </c>
      <c r="U110" s="208">
        <f t="shared" si="37"/>
        <v>22</v>
      </c>
      <c r="V110" s="208">
        <f t="shared" si="23"/>
        <v>4.126358027344275</v>
      </c>
      <c r="W110" s="155">
        <f t="shared" si="38"/>
        <v>22</v>
      </c>
      <c r="X110" s="155">
        <f t="shared" si="13"/>
        <v>6.8493726802322863</v>
      </c>
      <c r="Y110" s="208">
        <f t="shared" si="39"/>
        <v>22</v>
      </c>
      <c r="Z110" s="208">
        <f t="shared" si="24"/>
        <v>4.126358027344275</v>
      </c>
    </row>
    <row r="111" spans="1:26" s="108" customFormat="1">
      <c r="A111" s="150">
        <v>1.36</v>
      </c>
      <c r="B111" s="151">
        <f t="shared" si="25"/>
        <v>1.2600096663550904</v>
      </c>
      <c r="C111" s="152">
        <f t="shared" si="15"/>
        <v>48.544033613445379</v>
      </c>
      <c r="D111" s="152">
        <f t="shared" si="16"/>
        <v>48.844033613445376</v>
      </c>
      <c r="E111" s="153">
        <f t="shared" si="17"/>
        <v>22</v>
      </c>
      <c r="F111" s="154">
        <f t="shared" si="26"/>
        <v>4.1913283085738229</v>
      </c>
      <c r="G111" s="155">
        <f t="shared" si="40"/>
        <v>22</v>
      </c>
      <c r="H111" s="155">
        <f t="shared" si="27"/>
        <v>11.467453269641869</v>
      </c>
      <c r="I111" s="206">
        <f t="shared" si="28"/>
        <v>22</v>
      </c>
      <c r="J111" s="206">
        <f t="shared" si="20"/>
        <v>4.1913283085738229</v>
      </c>
      <c r="K111" s="155">
        <f t="shared" si="29"/>
        <v>22</v>
      </c>
      <c r="L111" s="155">
        <f t="shared" si="30"/>
        <v>7.2026324771542285</v>
      </c>
      <c r="M111" s="208">
        <f t="shared" si="31"/>
        <v>22</v>
      </c>
      <c r="N111" s="208">
        <f t="shared" si="21"/>
        <v>4.1913283085738229</v>
      </c>
      <c r="O111" s="155">
        <f t="shared" si="32"/>
        <v>22</v>
      </c>
      <c r="P111" s="155">
        <f t="shared" si="33"/>
        <v>6.9472097031600741</v>
      </c>
      <c r="Q111" s="208">
        <f t="shared" si="34"/>
        <v>22</v>
      </c>
      <c r="R111" s="208">
        <f t="shared" si="22"/>
        <v>4.1913283085738229</v>
      </c>
      <c r="S111" s="155">
        <f t="shared" si="35"/>
        <v>22</v>
      </c>
      <c r="T111" s="155">
        <f t="shared" si="36"/>
        <v>6.8745396170476338</v>
      </c>
      <c r="U111" s="208">
        <f t="shared" si="37"/>
        <v>22</v>
      </c>
      <c r="V111" s="208">
        <f t="shared" si="23"/>
        <v>4.1913283085738229</v>
      </c>
      <c r="W111" s="155">
        <f t="shared" si="38"/>
        <v>22</v>
      </c>
      <c r="X111" s="155">
        <f t="shared" si="13"/>
        <v>6.8737744272194155</v>
      </c>
      <c r="Y111" s="208">
        <f t="shared" si="39"/>
        <v>22</v>
      </c>
      <c r="Z111" s="208">
        <f t="shared" si="24"/>
        <v>4.1913283085738229</v>
      </c>
    </row>
    <row r="112" spans="1:26" s="108" customFormat="1">
      <c r="A112" s="150">
        <v>1.37</v>
      </c>
      <c r="B112" s="151">
        <f t="shared" si="25"/>
        <v>1.2698135879237176</v>
      </c>
      <c r="C112" s="152">
        <f t="shared" si="15"/>
        <v>47.980504201680667</v>
      </c>
      <c r="D112" s="152">
        <f>$C112+$E$13</f>
        <v>48.280504201680664</v>
      </c>
      <c r="E112" s="153">
        <f t="shared" si="17"/>
        <v>22</v>
      </c>
      <c r="F112" s="154">
        <f t="shared" si="26"/>
        <v>4.2568060869198607</v>
      </c>
      <c r="G112" s="155">
        <f t="shared" si="40"/>
        <v>22</v>
      </c>
      <c r="H112" s="155">
        <f t="shared" si="27"/>
        <v>11.521751912175802</v>
      </c>
      <c r="I112" s="206">
        <f t="shared" si="28"/>
        <v>22</v>
      </c>
      <c r="J112" s="206">
        <f t="shared" si="20"/>
        <v>4.2568060869198607</v>
      </c>
      <c r="K112" s="155">
        <f t="shared" si="29"/>
        <v>22</v>
      </c>
      <c r="L112" s="155">
        <f t="shared" si="30"/>
        <v>7.229959244965424</v>
      </c>
      <c r="M112" s="208">
        <f t="shared" si="31"/>
        <v>22</v>
      </c>
      <c r="N112" s="208">
        <f t="shared" si="21"/>
        <v>4.2568060869198607</v>
      </c>
      <c r="O112" s="155">
        <f t="shared" si="32"/>
        <v>22</v>
      </c>
      <c r="P112" s="155">
        <f t="shared" si="33"/>
        <v>6.9725490696759094</v>
      </c>
      <c r="Q112" s="208">
        <f t="shared" si="34"/>
        <v>22</v>
      </c>
      <c r="R112" s="208">
        <f t="shared" si="22"/>
        <v>4.2568060869198607</v>
      </c>
      <c r="S112" s="155">
        <f t="shared" si="35"/>
        <v>22</v>
      </c>
      <c r="T112" s="155">
        <f t="shared" si="36"/>
        <v>6.8989473178470693</v>
      </c>
      <c r="U112" s="208">
        <f t="shared" si="37"/>
        <v>22</v>
      </c>
      <c r="V112" s="208">
        <f t="shared" si="23"/>
        <v>4.2568060869198607</v>
      </c>
      <c r="W112" s="155">
        <f t="shared" si="38"/>
        <v>22</v>
      </c>
      <c r="X112" s="155">
        <f t="shared" si="13"/>
        <v>6.8981761742065419</v>
      </c>
      <c r="Y112" s="208">
        <f t="shared" si="39"/>
        <v>22</v>
      </c>
      <c r="Z112" s="208">
        <f t="shared" si="24"/>
        <v>4.2568060869198607</v>
      </c>
    </row>
    <row r="113" spans="1:26" s="108" customFormat="1">
      <c r="A113" s="150">
        <v>1.38</v>
      </c>
      <c r="B113" s="151">
        <f t="shared" si="25"/>
        <v>1.279617509492345</v>
      </c>
      <c r="C113" s="152">
        <f t="shared" si="15"/>
        <v>47.416974789915976</v>
      </c>
      <c r="D113" s="152">
        <f t="shared" si="16"/>
        <v>47.716974789915973</v>
      </c>
      <c r="E113" s="153">
        <f t="shared" si="17"/>
        <v>22</v>
      </c>
      <c r="F113" s="154">
        <f t="shared" si="26"/>
        <v>4.3227913623823939</v>
      </c>
      <c r="G113" s="155">
        <f t="shared" si="40"/>
        <v>22</v>
      </c>
      <c r="H113" s="155">
        <f t="shared" si="27"/>
        <v>11.57605055470974</v>
      </c>
      <c r="I113" s="206">
        <f t="shared" si="28"/>
        <v>22</v>
      </c>
      <c r="J113" s="206">
        <f t="shared" si="20"/>
        <v>4.3227913623823939</v>
      </c>
      <c r="K113" s="155">
        <f t="shared" si="29"/>
        <v>22</v>
      </c>
      <c r="L113" s="155">
        <f t="shared" si="30"/>
        <v>7.2572860127766203</v>
      </c>
      <c r="M113" s="208">
        <f t="shared" si="31"/>
        <v>22</v>
      </c>
      <c r="N113" s="208">
        <f t="shared" si="21"/>
        <v>4.3227913623823939</v>
      </c>
      <c r="O113" s="155">
        <f t="shared" si="32"/>
        <v>22</v>
      </c>
      <c r="P113" s="155">
        <f t="shared" si="33"/>
        <v>6.9978884361917482</v>
      </c>
      <c r="Q113" s="208">
        <f t="shared" si="34"/>
        <v>22</v>
      </c>
      <c r="R113" s="208">
        <f t="shared" si="22"/>
        <v>4.3227913623823939</v>
      </c>
      <c r="S113" s="155">
        <f t="shared" si="35"/>
        <v>22</v>
      </c>
      <c r="T113" s="155">
        <f t="shared" si="36"/>
        <v>6.9233550186465065</v>
      </c>
      <c r="U113" s="208">
        <f t="shared" si="37"/>
        <v>22</v>
      </c>
      <c r="V113" s="208">
        <f t="shared" si="23"/>
        <v>4.3227913623823939</v>
      </c>
      <c r="W113" s="155">
        <f t="shared" si="38"/>
        <v>22</v>
      </c>
      <c r="X113" s="155">
        <f t="shared" si="13"/>
        <v>6.9225779211936702</v>
      </c>
      <c r="Y113" s="208">
        <f t="shared" si="39"/>
        <v>22</v>
      </c>
      <c r="Z113" s="208">
        <f t="shared" si="24"/>
        <v>4.3227913623823939</v>
      </c>
    </row>
    <row r="114" spans="1:26" s="108" customFormat="1">
      <c r="A114" s="150">
        <v>1.39</v>
      </c>
      <c r="B114" s="151">
        <f t="shared" si="25"/>
        <v>1.2894214310609724</v>
      </c>
      <c r="C114" s="152">
        <f t="shared" si="15"/>
        <v>46.853445378151271</v>
      </c>
      <c r="D114" s="152">
        <f t="shared" si="16"/>
        <v>47.153445378151268</v>
      </c>
      <c r="E114" s="153">
        <f t="shared" si="17"/>
        <v>22</v>
      </c>
      <c r="F114" s="154">
        <f t="shared" si="26"/>
        <v>4.3892841349614207</v>
      </c>
      <c r="G114" s="155">
        <f t="shared" si="40"/>
        <v>22</v>
      </c>
      <c r="H114" s="155">
        <f t="shared" si="27"/>
        <v>11.630349197243675</v>
      </c>
      <c r="I114" s="206">
        <f t="shared" si="28"/>
        <v>22</v>
      </c>
      <c r="J114" s="206">
        <f t="shared" si="20"/>
        <v>4.3892841349614207</v>
      </c>
      <c r="K114" s="155">
        <f t="shared" si="29"/>
        <v>22</v>
      </c>
      <c r="L114" s="155">
        <f t="shared" si="30"/>
        <v>7.2846127805878176</v>
      </c>
      <c r="M114" s="208">
        <f t="shared" si="31"/>
        <v>22</v>
      </c>
      <c r="N114" s="208">
        <f t="shared" si="21"/>
        <v>4.3892841349614207</v>
      </c>
      <c r="O114" s="155">
        <f t="shared" si="32"/>
        <v>22</v>
      </c>
      <c r="P114" s="155">
        <f t="shared" si="33"/>
        <v>7.0232278027075834</v>
      </c>
      <c r="Q114" s="208">
        <f t="shared" si="34"/>
        <v>22</v>
      </c>
      <c r="R114" s="208">
        <f t="shared" si="22"/>
        <v>4.3892841349614207</v>
      </c>
      <c r="S114" s="155">
        <f t="shared" si="35"/>
        <v>22</v>
      </c>
      <c r="T114" s="155">
        <f t="shared" si="36"/>
        <v>6.9477627194459437</v>
      </c>
      <c r="U114" s="208">
        <f t="shared" si="37"/>
        <v>22</v>
      </c>
      <c r="V114" s="208">
        <f t="shared" si="23"/>
        <v>4.3892841349614207</v>
      </c>
      <c r="W114" s="155">
        <f t="shared" si="38"/>
        <v>22</v>
      </c>
      <c r="X114" s="155">
        <f t="shared" si="13"/>
        <v>6.9469796681807976</v>
      </c>
      <c r="Y114" s="208">
        <f t="shared" si="39"/>
        <v>22</v>
      </c>
      <c r="Z114" s="208">
        <f t="shared" si="24"/>
        <v>4.3892841349614207</v>
      </c>
    </row>
    <row r="115" spans="1:26" s="108" customFormat="1">
      <c r="A115" s="150">
        <v>1.4</v>
      </c>
      <c r="B115" s="151">
        <f t="shared" si="25"/>
        <v>1.2992253526295998</v>
      </c>
      <c r="C115" s="152">
        <f t="shared" si="15"/>
        <v>46.289915966386566</v>
      </c>
      <c r="D115" s="152">
        <f t="shared" si="16"/>
        <v>46.589915966386563</v>
      </c>
      <c r="E115" s="153">
        <f t="shared" si="17"/>
        <v>22</v>
      </c>
      <c r="F115" s="154">
        <f t="shared" si="26"/>
        <v>4.4562844046569419</v>
      </c>
      <c r="G115" s="155">
        <f t="shared" si="40"/>
        <v>22</v>
      </c>
      <c r="H115" s="155">
        <f t="shared" si="27"/>
        <v>11.684647839777613</v>
      </c>
      <c r="I115" s="206">
        <f t="shared" si="28"/>
        <v>22</v>
      </c>
      <c r="J115" s="206">
        <f t="shared" si="20"/>
        <v>4.4562844046569419</v>
      </c>
      <c r="K115" s="155">
        <f t="shared" si="29"/>
        <v>22</v>
      </c>
      <c r="L115" s="155">
        <f t="shared" si="30"/>
        <v>7.3119395483990148</v>
      </c>
      <c r="M115" s="208">
        <f t="shared" si="31"/>
        <v>22</v>
      </c>
      <c r="N115" s="208">
        <f t="shared" si="21"/>
        <v>4.4562844046569419</v>
      </c>
      <c r="O115" s="155">
        <f t="shared" si="32"/>
        <v>22</v>
      </c>
      <c r="P115" s="155">
        <f t="shared" si="33"/>
        <v>7.0485671692234222</v>
      </c>
      <c r="Q115" s="208">
        <f t="shared" si="34"/>
        <v>22</v>
      </c>
      <c r="R115" s="208">
        <f t="shared" si="22"/>
        <v>4.4562844046569419</v>
      </c>
      <c r="S115" s="155">
        <f t="shared" si="35"/>
        <v>22</v>
      </c>
      <c r="T115" s="155">
        <f t="shared" si="36"/>
        <v>6.9721704202453809</v>
      </c>
      <c r="U115" s="208">
        <f t="shared" si="37"/>
        <v>22</v>
      </c>
      <c r="V115" s="208">
        <f t="shared" si="23"/>
        <v>4.4562844046569419</v>
      </c>
      <c r="W115" s="155">
        <f t="shared" si="38"/>
        <v>22</v>
      </c>
      <c r="X115" s="155">
        <f t="shared" si="13"/>
        <v>6.9713814151679268</v>
      </c>
      <c r="Y115" s="208">
        <f t="shared" si="39"/>
        <v>22</v>
      </c>
      <c r="Z115" s="208">
        <f t="shared" si="24"/>
        <v>4.4562844046569419</v>
      </c>
    </row>
    <row r="116" spans="1:26" s="108" customFormat="1">
      <c r="A116" s="150">
        <v>1.41</v>
      </c>
      <c r="B116" s="151">
        <f t="shared" si="25"/>
        <v>1.3090292741982275</v>
      </c>
      <c r="C116" s="152">
        <f t="shared" si="15"/>
        <v>45.726386554621861</v>
      </c>
      <c r="D116" s="152">
        <f t="shared" si="16"/>
        <v>46.026386554621858</v>
      </c>
      <c r="E116" s="153">
        <f t="shared" si="17"/>
        <v>22</v>
      </c>
      <c r="F116" s="154">
        <f t="shared" si="26"/>
        <v>4.5237921714689566</v>
      </c>
      <c r="G116" s="155">
        <f t="shared" si="40"/>
        <v>22</v>
      </c>
      <c r="H116" s="155">
        <f t="shared" si="27"/>
        <v>11.738946482311549</v>
      </c>
      <c r="I116" s="206">
        <f t="shared" si="28"/>
        <v>22</v>
      </c>
      <c r="J116" s="206">
        <f t="shared" si="20"/>
        <v>4.5237921714689566</v>
      </c>
      <c r="K116" s="155">
        <f t="shared" si="29"/>
        <v>22</v>
      </c>
      <c r="L116" s="155">
        <f t="shared" si="30"/>
        <v>7.3392663162102112</v>
      </c>
      <c r="M116" s="208">
        <f t="shared" si="31"/>
        <v>22</v>
      </c>
      <c r="N116" s="208">
        <f t="shared" si="21"/>
        <v>4.5237921714689566</v>
      </c>
      <c r="O116" s="155">
        <f t="shared" si="32"/>
        <v>22</v>
      </c>
      <c r="P116" s="155">
        <f t="shared" si="33"/>
        <v>7.0739065357392592</v>
      </c>
      <c r="Q116" s="208">
        <f t="shared" si="34"/>
        <v>22</v>
      </c>
      <c r="R116" s="208">
        <f t="shared" si="22"/>
        <v>4.5237921714689566</v>
      </c>
      <c r="S116" s="155">
        <f t="shared" si="35"/>
        <v>22</v>
      </c>
      <c r="T116" s="155">
        <f t="shared" si="36"/>
        <v>6.9965781210448181</v>
      </c>
      <c r="U116" s="208">
        <f t="shared" si="37"/>
        <v>22</v>
      </c>
      <c r="V116" s="208">
        <f t="shared" si="23"/>
        <v>4.5237921714689566</v>
      </c>
      <c r="W116" s="155">
        <f t="shared" si="38"/>
        <v>22</v>
      </c>
      <c r="X116" s="155">
        <f t="shared" si="13"/>
        <v>6.9957831621550541</v>
      </c>
      <c r="Y116" s="208">
        <f t="shared" si="39"/>
        <v>22</v>
      </c>
      <c r="Z116" s="208">
        <f t="shared" si="24"/>
        <v>4.5237921714689566</v>
      </c>
    </row>
    <row r="117" spans="1:26" s="108" customFormat="1">
      <c r="A117" s="150">
        <v>1.42</v>
      </c>
      <c r="B117" s="151">
        <f t="shared" si="25"/>
        <v>1.3188331957668546</v>
      </c>
      <c r="C117" s="152">
        <f t="shared" si="15"/>
        <v>45.162857142857149</v>
      </c>
      <c r="D117" s="152">
        <f t="shared" si="16"/>
        <v>45.462857142857146</v>
      </c>
      <c r="E117" s="153">
        <f t="shared" si="17"/>
        <v>22</v>
      </c>
      <c r="F117" s="154">
        <f t="shared" si="26"/>
        <v>4.5918074353974632</v>
      </c>
      <c r="G117" s="155">
        <f t="shared" si="40"/>
        <v>22</v>
      </c>
      <c r="H117" s="155">
        <f t="shared" si="27"/>
        <v>11.793245124845486</v>
      </c>
      <c r="I117" s="206">
        <f t="shared" si="28"/>
        <v>22</v>
      </c>
      <c r="J117" s="206">
        <f t="shared" si="20"/>
        <v>4.5918074353974632</v>
      </c>
      <c r="K117" s="155">
        <f t="shared" si="29"/>
        <v>22</v>
      </c>
      <c r="L117" s="155">
        <f t="shared" si="30"/>
        <v>7.3665930840214076</v>
      </c>
      <c r="M117" s="208">
        <f t="shared" si="31"/>
        <v>22</v>
      </c>
      <c r="N117" s="208">
        <f t="shared" si="21"/>
        <v>4.5918074353974632</v>
      </c>
      <c r="O117" s="155">
        <f t="shared" si="32"/>
        <v>22</v>
      </c>
      <c r="P117" s="155">
        <f t="shared" si="33"/>
        <v>7.0992459022550962</v>
      </c>
      <c r="Q117" s="208">
        <f t="shared" si="34"/>
        <v>22</v>
      </c>
      <c r="R117" s="208">
        <f t="shared" si="22"/>
        <v>4.5918074353974632</v>
      </c>
      <c r="S117" s="155">
        <f t="shared" si="35"/>
        <v>22</v>
      </c>
      <c r="T117" s="155">
        <f t="shared" si="36"/>
        <v>7.0209858218442553</v>
      </c>
      <c r="U117" s="208">
        <f t="shared" si="37"/>
        <v>22</v>
      </c>
      <c r="V117" s="208">
        <f t="shared" si="23"/>
        <v>4.5918074353974632</v>
      </c>
      <c r="W117" s="155">
        <f t="shared" si="38"/>
        <v>22</v>
      </c>
      <c r="X117" s="155">
        <f t="shared" si="13"/>
        <v>7.0201849091421833</v>
      </c>
      <c r="Y117" s="208">
        <f t="shared" si="39"/>
        <v>22</v>
      </c>
      <c r="Z117" s="208">
        <f t="shared" si="24"/>
        <v>4.5918074353974632</v>
      </c>
    </row>
    <row r="118" spans="1:26" s="108" customFormat="1">
      <c r="A118" s="150">
        <v>1.43</v>
      </c>
      <c r="B118" s="151">
        <f t="shared" si="25"/>
        <v>1.3286371173354823</v>
      </c>
      <c r="C118" s="152">
        <f t="shared" si="15"/>
        <v>44.599327731092444</v>
      </c>
      <c r="D118" s="152">
        <f t="shared" si="16"/>
        <v>44.899327731092441</v>
      </c>
      <c r="E118" s="153">
        <f t="shared" si="17"/>
        <v>22</v>
      </c>
      <c r="F118" s="154">
        <f t="shared" si="26"/>
        <v>4.6603301964424659</v>
      </c>
      <c r="G118" s="155">
        <f t="shared" si="40"/>
        <v>22</v>
      </c>
      <c r="H118" s="155">
        <f t="shared" si="27"/>
        <v>11.847543767379422</v>
      </c>
      <c r="I118" s="206">
        <f t="shared" si="28"/>
        <v>22</v>
      </c>
      <c r="J118" s="206">
        <f t="shared" si="20"/>
        <v>4.6603301964424659</v>
      </c>
      <c r="K118" s="155">
        <f t="shared" si="29"/>
        <v>22</v>
      </c>
      <c r="L118" s="155">
        <f t="shared" si="30"/>
        <v>7.3939198518326048</v>
      </c>
      <c r="M118" s="208">
        <f t="shared" si="31"/>
        <v>22</v>
      </c>
      <c r="N118" s="208">
        <f t="shared" si="21"/>
        <v>4.6603301964424659</v>
      </c>
      <c r="O118" s="155">
        <f t="shared" si="32"/>
        <v>22</v>
      </c>
      <c r="P118" s="155">
        <f t="shared" si="33"/>
        <v>7.1245852687709332</v>
      </c>
      <c r="Q118" s="208">
        <f t="shared" si="34"/>
        <v>22</v>
      </c>
      <c r="R118" s="208">
        <f t="shared" si="22"/>
        <v>4.6603301964424659</v>
      </c>
      <c r="S118" s="155">
        <f t="shared" si="35"/>
        <v>22</v>
      </c>
      <c r="T118" s="155">
        <f t="shared" si="36"/>
        <v>7.0453935226436917</v>
      </c>
      <c r="U118" s="208">
        <f t="shared" si="37"/>
        <v>22</v>
      </c>
      <c r="V118" s="208">
        <f t="shared" si="23"/>
        <v>4.6603301964424659</v>
      </c>
      <c r="W118" s="155">
        <f t="shared" si="38"/>
        <v>22</v>
      </c>
      <c r="X118" s="155">
        <f t="shared" si="13"/>
        <v>7.0445866561293107</v>
      </c>
      <c r="Y118" s="208">
        <f t="shared" si="39"/>
        <v>22</v>
      </c>
      <c r="Z118" s="208">
        <f t="shared" si="24"/>
        <v>4.6603301964424659</v>
      </c>
    </row>
    <row r="119" spans="1:26" s="108" customFormat="1">
      <c r="A119" s="150">
        <v>1.44</v>
      </c>
      <c r="B119" s="151">
        <f t="shared" si="25"/>
        <v>1.3384410389041097</v>
      </c>
      <c r="C119" s="152">
        <f t="shared" si="15"/>
        <v>44.035798319327739</v>
      </c>
      <c r="D119" s="152">
        <f t="shared" si="16"/>
        <v>44.335798319327736</v>
      </c>
      <c r="E119" s="153">
        <f t="shared" si="17"/>
        <v>22</v>
      </c>
      <c r="F119" s="154">
        <f t="shared" si="26"/>
        <v>4.7293604546039614</v>
      </c>
      <c r="G119" s="155">
        <f t="shared" si="40"/>
        <v>22</v>
      </c>
      <c r="H119" s="155">
        <f t="shared" si="27"/>
        <v>11.90184240991336</v>
      </c>
      <c r="I119" s="206">
        <f t="shared" si="28"/>
        <v>22</v>
      </c>
      <c r="J119" s="206">
        <f t="shared" si="20"/>
        <v>4.7293604546039614</v>
      </c>
      <c r="K119" s="155">
        <f t="shared" si="29"/>
        <v>22</v>
      </c>
      <c r="L119" s="155">
        <f t="shared" si="30"/>
        <v>7.4212466196438021</v>
      </c>
      <c r="M119" s="208">
        <f t="shared" si="31"/>
        <v>22</v>
      </c>
      <c r="N119" s="208">
        <f t="shared" si="21"/>
        <v>4.7293604546039614</v>
      </c>
      <c r="O119" s="155">
        <f t="shared" si="32"/>
        <v>22</v>
      </c>
      <c r="P119" s="155">
        <f t="shared" si="33"/>
        <v>7.1499246352867702</v>
      </c>
      <c r="Q119" s="208">
        <f t="shared" si="34"/>
        <v>22</v>
      </c>
      <c r="R119" s="208">
        <f t="shared" si="22"/>
        <v>4.7293604546039614</v>
      </c>
      <c r="S119" s="155">
        <f t="shared" si="35"/>
        <v>22</v>
      </c>
      <c r="T119" s="155">
        <f t="shared" si="36"/>
        <v>7.0698012234431298</v>
      </c>
      <c r="U119" s="208">
        <f t="shared" si="37"/>
        <v>22</v>
      </c>
      <c r="V119" s="208">
        <f t="shared" si="23"/>
        <v>4.7293604546039614</v>
      </c>
      <c r="W119" s="155">
        <f t="shared" si="38"/>
        <v>22</v>
      </c>
      <c r="X119" s="155">
        <f t="shared" si="13"/>
        <v>7.0689884031164398</v>
      </c>
      <c r="Y119" s="208">
        <f t="shared" si="39"/>
        <v>22</v>
      </c>
      <c r="Z119" s="208">
        <f t="shared" si="24"/>
        <v>4.7293604546039614</v>
      </c>
    </row>
    <row r="120" spans="1:26" s="108" customFormat="1">
      <c r="A120" s="150">
        <v>1.45</v>
      </c>
      <c r="B120" s="151">
        <f t="shared" si="25"/>
        <v>1.3482449604727371</v>
      </c>
      <c r="C120" s="152">
        <f t="shared" si="15"/>
        <v>43.472268907563034</v>
      </c>
      <c r="D120" s="152">
        <f t="shared" si="16"/>
        <v>43.772268907563031</v>
      </c>
      <c r="E120" s="153">
        <f t="shared" si="17"/>
        <v>22.13966238700916</v>
      </c>
      <c r="F120" s="154">
        <f t="shared" si="26"/>
        <v>4.8293630089276816</v>
      </c>
      <c r="G120" s="155">
        <f t="shared" si="40"/>
        <v>22</v>
      </c>
      <c r="H120" s="155">
        <f t="shared" si="27"/>
        <v>11.956141052447295</v>
      </c>
      <c r="I120" s="206">
        <f t="shared" si="28"/>
        <v>22</v>
      </c>
      <c r="J120" s="206">
        <f t="shared" si="20"/>
        <v>4.7988982098819495</v>
      </c>
      <c r="K120" s="155">
        <f t="shared" si="29"/>
        <v>22.085532855961478</v>
      </c>
      <c r="L120" s="155">
        <f t="shared" si="30"/>
        <v>7.4485733874549984</v>
      </c>
      <c r="M120" s="208">
        <f t="shared" si="31"/>
        <v>22.085532855961478</v>
      </c>
      <c r="N120" s="208">
        <f t="shared" si="21"/>
        <v>4.8175556403073871</v>
      </c>
      <c r="O120" s="155">
        <f t="shared" si="32"/>
        <v>22.054921636766256</v>
      </c>
      <c r="P120" s="155">
        <f t="shared" si="33"/>
        <v>7.1752640018026073</v>
      </c>
      <c r="Q120" s="208">
        <f t="shared" si="34"/>
        <v>22.054921636766256</v>
      </c>
      <c r="R120" s="208">
        <f t="shared" si="22"/>
        <v>4.810878361898375</v>
      </c>
      <c r="S120" s="155">
        <f t="shared" si="35"/>
        <v>22</v>
      </c>
      <c r="T120" s="155">
        <f t="shared" si="36"/>
        <v>7.0942089242425661</v>
      </c>
      <c r="U120" s="208">
        <f t="shared" si="37"/>
        <v>22</v>
      </c>
      <c r="V120" s="208">
        <f t="shared" si="23"/>
        <v>4.7988982098819495</v>
      </c>
      <c r="W120" s="155">
        <f t="shared" si="38"/>
        <v>22</v>
      </c>
      <c r="X120" s="155">
        <f t="shared" si="13"/>
        <v>7.0933901501035672</v>
      </c>
      <c r="Y120" s="208">
        <f t="shared" si="39"/>
        <v>22</v>
      </c>
      <c r="Z120" s="208">
        <f t="shared" si="24"/>
        <v>4.7988982098819495</v>
      </c>
    </row>
    <row r="121" spans="1:26" s="108" customFormat="1">
      <c r="A121" s="150">
        <v>1.46</v>
      </c>
      <c r="B121" s="151">
        <f t="shared" si="25"/>
        <v>1.3580488820413645</v>
      </c>
      <c r="C121" s="152">
        <f t="shared" si="15"/>
        <v>42.908739495798329</v>
      </c>
      <c r="D121" s="152">
        <f t="shared" si="16"/>
        <v>43.208739495798326</v>
      </c>
      <c r="E121" s="153">
        <f t="shared" si="17"/>
        <v>22.419374369080995</v>
      </c>
      <c r="F121" s="154">
        <f t="shared" si="26"/>
        <v>4.9617575573938515</v>
      </c>
      <c r="G121" s="155">
        <f t="shared" si="40"/>
        <v>22.147228094998013</v>
      </c>
      <c r="H121" s="155">
        <f t="shared" si="27"/>
        <v>12.010439694981232</v>
      </c>
      <c r="I121" s="206">
        <f t="shared" si="28"/>
        <v>22.147228094998013</v>
      </c>
      <c r="J121" s="206">
        <f t="shared" si="20"/>
        <v>4.9015273382129774</v>
      </c>
      <c r="K121" s="155">
        <f t="shared" si="29"/>
        <v>22.363870170002745</v>
      </c>
      <c r="L121" s="155">
        <f t="shared" si="30"/>
        <v>7.4759001552661948</v>
      </c>
      <c r="M121" s="208">
        <f t="shared" si="31"/>
        <v>22.363870170002745</v>
      </c>
      <c r="N121" s="208">
        <f t="shared" si="21"/>
        <v>4.9494736116106264</v>
      </c>
      <c r="O121" s="155">
        <f t="shared" si="32"/>
        <v>22.33248306921092</v>
      </c>
      <c r="P121" s="155">
        <f t="shared" si="33"/>
        <v>7.2006033683184443</v>
      </c>
      <c r="Q121" s="208">
        <f t="shared" si="34"/>
        <v>22.33248306921092</v>
      </c>
      <c r="R121" s="208">
        <f t="shared" si="22"/>
        <v>4.9425271561924378</v>
      </c>
      <c r="S121" s="155">
        <f t="shared" si="35"/>
        <v>22.189229879518557</v>
      </c>
      <c r="T121" s="155">
        <f t="shared" si="36"/>
        <v>7.1186166250420033</v>
      </c>
      <c r="U121" s="208">
        <f t="shared" si="37"/>
        <v>22.189229879518557</v>
      </c>
      <c r="V121" s="208">
        <f t="shared" si="23"/>
        <v>4.9108229888559425</v>
      </c>
      <c r="W121" s="155">
        <f t="shared" si="38"/>
        <v>22.147228094998013</v>
      </c>
      <c r="X121" s="155">
        <f t="shared" si="13"/>
        <v>7.1177918970906946</v>
      </c>
      <c r="Y121" s="208">
        <f t="shared" si="39"/>
        <v>22.147228094998013</v>
      </c>
      <c r="Z121" s="208">
        <f t="shared" si="24"/>
        <v>4.9015273382129774</v>
      </c>
    </row>
    <row r="122" spans="1:26" s="108" customFormat="1">
      <c r="A122" s="150">
        <v>1.47</v>
      </c>
      <c r="B122" s="151">
        <f t="shared" si="25"/>
        <v>1.3678528036099922</v>
      </c>
      <c r="C122" s="152">
        <f t="shared" si="15"/>
        <v>42.345210084033617</v>
      </c>
      <c r="D122" s="152">
        <f t="shared" si="16"/>
        <v>42.645210084033614</v>
      </c>
      <c r="E122" s="153">
        <f t="shared" si="17"/>
        <v>22.706244536918611</v>
      </c>
      <c r="F122" s="154">
        <f t="shared" si="26"/>
        <v>5.0980640397285484</v>
      </c>
      <c r="G122" s="155">
        <f t="shared" si="40"/>
        <v>22.427132488142071</v>
      </c>
      <c r="H122" s="155">
        <f t="shared" si="27"/>
        <v>12.06473833751517</v>
      </c>
      <c r="I122" s="206">
        <f t="shared" si="28"/>
        <v>22.427132488142071</v>
      </c>
      <c r="J122" s="206">
        <f t="shared" si="20"/>
        <v>5.0353970893832773</v>
      </c>
      <c r="K122" s="155">
        <f t="shared" si="29"/>
        <v>22.649312630621786</v>
      </c>
      <c r="L122" s="155">
        <f t="shared" si="30"/>
        <v>7.5032269230773929</v>
      </c>
      <c r="M122" s="208">
        <f t="shared" si="31"/>
        <v>22.649312630621786</v>
      </c>
      <c r="N122" s="208">
        <f t="shared" si="21"/>
        <v>5.0852815426611384</v>
      </c>
      <c r="O122" s="155">
        <f t="shared" si="32"/>
        <v>22.617119771390573</v>
      </c>
      <c r="P122" s="155">
        <f t="shared" si="33"/>
        <v>7.2259427348342813</v>
      </c>
      <c r="Q122" s="208">
        <f t="shared" si="34"/>
        <v>22.617119771390573</v>
      </c>
      <c r="R122" s="208">
        <f t="shared" si="22"/>
        <v>5.078053519651176</v>
      </c>
      <c r="S122" s="155">
        <f t="shared" si="35"/>
        <v>22.4702036802687</v>
      </c>
      <c r="T122" s="155">
        <f t="shared" si="36"/>
        <v>7.1430243258414405</v>
      </c>
      <c r="U122" s="208">
        <f t="shared" si="37"/>
        <v>22.4702036802687</v>
      </c>
      <c r="V122" s="208">
        <f t="shared" si="23"/>
        <v>5.0450675434899441</v>
      </c>
      <c r="W122" s="155">
        <f t="shared" si="38"/>
        <v>22.427132488142071</v>
      </c>
      <c r="X122" s="155">
        <f t="shared" si="13"/>
        <v>7.1421936440778238</v>
      </c>
      <c r="Y122" s="208">
        <f t="shared" si="39"/>
        <v>22.427132488142071</v>
      </c>
      <c r="Z122" s="208">
        <f t="shared" si="24"/>
        <v>5.0353970893832773</v>
      </c>
    </row>
    <row r="123" spans="1:26" s="108" customFormat="1">
      <c r="A123" s="150">
        <v>1.48</v>
      </c>
      <c r="B123" s="151">
        <f t="shared" si="25"/>
        <v>1.3776567251786196</v>
      </c>
      <c r="C123" s="152">
        <f t="shared" si="15"/>
        <v>41.781680672268912</v>
      </c>
      <c r="D123" s="152">
        <f t="shared" si="16"/>
        <v>42.081680672268909</v>
      </c>
      <c r="E123" s="153">
        <f t="shared" si="17"/>
        <v>23.000551232719516</v>
      </c>
      <c r="F123" s="154">
        <f t="shared" si="26"/>
        <v>5.2384345693729584</v>
      </c>
      <c r="G123" s="155">
        <f t="shared" si="40"/>
        <v>22.71420250158512</v>
      </c>
      <c r="H123" s="155">
        <f t="shared" si="27"/>
        <v>12.119036980049106</v>
      </c>
      <c r="I123" s="206">
        <f t="shared" si="28"/>
        <v>22.71420250158512</v>
      </c>
      <c r="J123" s="206">
        <f t="shared" si="20"/>
        <v>5.1732179110027614</v>
      </c>
      <c r="K123" s="155">
        <f t="shared" si="29"/>
        <v>22.942135815937053</v>
      </c>
      <c r="L123" s="155">
        <f t="shared" si="30"/>
        <v>7.5305536908885893</v>
      </c>
      <c r="M123" s="208">
        <f t="shared" si="31"/>
        <v>22.942135815937053</v>
      </c>
      <c r="N123" s="208">
        <f t="shared" si="21"/>
        <v>5.22513030828976</v>
      </c>
      <c r="O123" s="155">
        <f t="shared" si="32"/>
        <v>22.909105767544695</v>
      </c>
      <c r="P123" s="155">
        <f t="shared" si="33"/>
        <v>7.2512821013501183</v>
      </c>
      <c r="Q123" s="208">
        <f t="shared" si="34"/>
        <v>22.909105767544695</v>
      </c>
      <c r="R123" s="208">
        <f t="shared" si="22"/>
        <v>5.2176076300036645</v>
      </c>
      <c r="S123" s="155">
        <f t="shared" si="35"/>
        <v>22.758384469692349</v>
      </c>
      <c r="T123" s="155">
        <f t="shared" si="36"/>
        <v>7.1674320266408778</v>
      </c>
      <c r="U123" s="208">
        <f t="shared" si="37"/>
        <v>22.758384469692349</v>
      </c>
      <c r="V123" s="208">
        <f t="shared" si="23"/>
        <v>5.1832804676229944</v>
      </c>
      <c r="W123" s="155">
        <f t="shared" si="38"/>
        <v>22.71420250158512</v>
      </c>
      <c r="X123" s="155">
        <f t="shared" si="13"/>
        <v>7.166595391064952</v>
      </c>
      <c r="Y123" s="208">
        <f t="shared" si="39"/>
        <v>22.71420250158512</v>
      </c>
      <c r="Z123" s="208">
        <f t="shared" si="24"/>
        <v>5.1732179110027614</v>
      </c>
    </row>
    <row r="124" spans="1:26" s="108" customFormat="1">
      <c r="A124" s="150">
        <v>1.49</v>
      </c>
      <c r="B124" s="151">
        <f t="shared" si="25"/>
        <v>1.387460646747247</v>
      </c>
      <c r="C124" s="152">
        <f t="shared" si="15"/>
        <v>41.218151260504207</v>
      </c>
      <c r="D124" s="152">
        <f t="shared" si="16"/>
        <v>41.518151260504204</v>
      </c>
      <c r="E124" s="153">
        <f t="shared" si="17"/>
        <v>23.30258741909882</v>
      </c>
      <c r="F124" s="154">
        <f t="shared" si="26"/>
        <v>5.3830292497965582</v>
      </c>
      <c r="G124" s="155">
        <f t="shared" si="40"/>
        <v>23.008716865531913</v>
      </c>
      <c r="H124" s="155">
        <f t="shared" si="27"/>
        <v>12.173335622583043</v>
      </c>
      <c r="I124" s="206">
        <f t="shared" si="28"/>
        <v>23.008716865531913</v>
      </c>
      <c r="J124" s="206">
        <f t="shared" si="20"/>
        <v>5.3151434928609138</v>
      </c>
      <c r="K124" s="155">
        <f t="shared" si="29"/>
        <v>23.242629742051577</v>
      </c>
      <c r="L124" s="155">
        <f t="shared" si="30"/>
        <v>7.5578804586997856</v>
      </c>
      <c r="M124" s="208">
        <f t="shared" si="31"/>
        <v>23.242629742051577</v>
      </c>
      <c r="N124" s="208">
        <f t="shared" si="21"/>
        <v>5.3691786879044212</v>
      </c>
      <c r="O124" s="155">
        <f t="shared" si="32"/>
        <v>23.208729417547477</v>
      </c>
      <c r="P124" s="155">
        <f t="shared" si="33"/>
        <v>7.2766214678659553</v>
      </c>
      <c r="Q124" s="208">
        <f t="shared" si="34"/>
        <v>23.208729417547477</v>
      </c>
      <c r="R124" s="208">
        <f t="shared" si="22"/>
        <v>5.3613475215579065</v>
      </c>
      <c r="S124" s="155">
        <f t="shared" si="35"/>
        <v>23.054053139531728</v>
      </c>
      <c r="T124" s="155">
        <f t="shared" si="36"/>
        <v>7.191839727440315</v>
      </c>
      <c r="U124" s="208">
        <f t="shared" si="37"/>
        <v>23.054053139531728</v>
      </c>
      <c r="V124" s="208">
        <f t="shared" si="23"/>
        <v>5.3256164281031939</v>
      </c>
      <c r="W124" s="155">
        <f t="shared" si="38"/>
        <v>23.008716865531913</v>
      </c>
      <c r="X124" s="155">
        <f t="shared" si="13"/>
        <v>7.1909971380520803</v>
      </c>
      <c r="Y124" s="208">
        <f t="shared" si="39"/>
        <v>23.008716865531913</v>
      </c>
      <c r="Z124" s="208">
        <f t="shared" si="24"/>
        <v>5.3151434928609138</v>
      </c>
    </row>
    <row r="125" spans="1:26" s="108" customFormat="1">
      <c r="A125" s="150">
        <v>1.5</v>
      </c>
      <c r="B125" s="151">
        <f t="shared" si="25"/>
        <v>1.3972645683158744</v>
      </c>
      <c r="C125" s="152">
        <f t="shared" si="15"/>
        <v>40.654621848739502</v>
      </c>
      <c r="D125" s="152">
        <f t="shared" si="16"/>
        <v>40.9546218487395</v>
      </c>
      <c r="E125" s="153">
        <f t="shared" si="17"/>
        <v>23.612661651816953</v>
      </c>
      <c r="F125" s="154">
        <f t="shared" si="26"/>
        <v>5.5320167060908236</v>
      </c>
      <c r="G125" s="155">
        <f t="shared" si="40"/>
        <v>23.310968956251571</v>
      </c>
      <c r="H125" s="155">
        <f t="shared" si="27"/>
        <v>12.227634265116979</v>
      </c>
      <c r="I125" s="206">
        <f t="shared" si="28"/>
        <v>23.310968956251571</v>
      </c>
      <c r="J125" s="206">
        <f t="shared" si="20"/>
        <v>5.4613356004796376</v>
      </c>
      <c r="K125" s="155">
        <f t="shared" si="29"/>
        <v>23.551099821138678</v>
      </c>
      <c r="L125" s="155">
        <f t="shared" si="30"/>
        <v>7.585207226510982</v>
      </c>
      <c r="M125" s="208">
        <f t="shared" si="31"/>
        <v>23.551099821138678</v>
      </c>
      <c r="N125" s="208">
        <f t="shared" si="21"/>
        <v>5.517593890027495</v>
      </c>
      <c r="O125" s="155">
        <f t="shared" si="32"/>
        <v>23.516294366795798</v>
      </c>
      <c r="P125" s="155">
        <f t="shared" si="33"/>
        <v>7.3019608343817923</v>
      </c>
      <c r="Q125" s="208">
        <f t="shared" si="34"/>
        <v>23.516294366795798</v>
      </c>
      <c r="R125" s="208">
        <f t="shared" si="22"/>
        <v>5.5094396057825819</v>
      </c>
      <c r="S125" s="155">
        <f t="shared" si="35"/>
        <v>23.357505370638009</v>
      </c>
      <c r="T125" s="155">
        <f t="shared" si="36"/>
        <v>7.2162474282397522</v>
      </c>
      <c r="U125" s="208">
        <f t="shared" si="37"/>
        <v>23.357505370638009</v>
      </c>
      <c r="V125" s="208">
        <f t="shared" si="23"/>
        <v>5.4722382350755785</v>
      </c>
      <c r="W125" s="155">
        <f t="shared" si="38"/>
        <v>23.310968956251571</v>
      </c>
      <c r="X125" s="155">
        <f t="shared" si="13"/>
        <v>7.2153988850392077</v>
      </c>
      <c r="Y125" s="208">
        <f t="shared" si="39"/>
        <v>23.310968956251571</v>
      </c>
      <c r="Z125" s="208">
        <f t="shared" si="24"/>
        <v>5.4613356004796376</v>
      </c>
    </row>
    <row r="126" spans="1:26" s="108" customFormat="1">
      <c r="A126" s="150">
        <v>1.51</v>
      </c>
      <c r="B126" s="151">
        <f t="shared" si="25"/>
        <v>1.4070684898845018</v>
      </c>
      <c r="C126" s="152">
        <f t="shared" si="15"/>
        <v>40.091092436974797</v>
      </c>
      <c r="D126" s="152">
        <f t="shared" si="16"/>
        <v>40.391092436974795</v>
      </c>
      <c r="E126" s="153">
        <f t="shared" si="17"/>
        <v>23.93109913121598</v>
      </c>
      <c r="F126" s="154">
        <f t="shared" ref="F126:F157" si="41">(0.5*Lm*$B126*$B126*$E126*0.001)</f>
        <v>5.685574659577024</v>
      </c>
      <c r="G126" s="155">
        <f t="shared" si="40"/>
        <v>23.621267770866861</v>
      </c>
      <c r="H126" s="155">
        <f t="shared" ref="H126:H157" si="42">$I$6+Tdead+$J$6+$B126*Lm/$C$6+$K$6+$B126*Lm/VOR+$L$6</f>
        <v>12.281932907650916</v>
      </c>
      <c r="I126" s="206">
        <f t="shared" ref="I126:I157" si="43">MIN(G126,1000/H126)</f>
        <v>23.621267770866861</v>
      </c>
      <c r="J126" s="206">
        <f t="shared" si="20"/>
        <v>5.6119646126049068</v>
      </c>
      <c r="K126" s="155">
        <f t="shared" ref="K126:K157" si="44">IF(1000/($D126+$I$7+$I$13)&lt;$J$13,$J$13,1000/($D126+$I$7+$I$13))</f>
        <v>23.867867896846569</v>
      </c>
      <c r="L126" s="155">
        <f t="shared" ref="L126:L157" si="45">$I$9+Tdead+$J$9+$B126*Lm/L$59+$K$9+$B126*Lm/VOR+$L$9</f>
        <v>7.6125339943221801</v>
      </c>
      <c r="M126" s="208">
        <f t="shared" ref="M126:M157" si="46">MIN(K126,1000/L126)</f>
        <v>23.867867896846569</v>
      </c>
      <c r="N126" s="208">
        <f t="shared" si="21"/>
        <v>5.6705521191640953</v>
      </c>
      <c r="O126" s="155">
        <f t="shared" ref="O126:O157" si="47">IF(1000/($D126+$I$8+$I$13)&lt;$J$13,$J$13,1000/($D126+$I$8+$I$13))</f>
        <v>23.832120572639784</v>
      </c>
      <c r="P126" s="155">
        <f t="shared" ref="P126:P157" si="48">$I$9+Tdead+$J$9+$B126*Lm/P$59+$K$9+$B126*Lm/VOR+$L$9</f>
        <v>7.3273002008976293</v>
      </c>
      <c r="Q126" s="208">
        <f t="shared" ref="Q126:Q157" si="49">MIN(O126,1000/P126)</f>
        <v>23.832120572639784</v>
      </c>
      <c r="R126" s="208">
        <f t="shared" si="22"/>
        <v>5.6620592338376268</v>
      </c>
      <c r="S126" s="155">
        <f t="shared" ref="S126:S157" si="50">IF((1000/($D126+$I$9+$I$13))&lt;$J$13,$J$13,1000/($D126+$I$9+$I$13))</f>
        <v>23.669052619272314</v>
      </c>
      <c r="T126" s="155">
        <f t="shared" ref="T126:T157" si="51">$I$10+Tdead+$J$10+$B126*Lm/T$59+$K$10+$B126*Lm/VOR+$L$10</f>
        <v>7.2406551290391894</v>
      </c>
      <c r="U126" s="208">
        <f t="shared" ref="U126:U157" si="52">MIN(S126,1000/T126)</f>
        <v>23.669052619272314</v>
      </c>
      <c r="V126" s="208">
        <f t="shared" si="23"/>
        <v>5.623317385067053</v>
      </c>
      <c r="W126" s="155">
        <f t="shared" ref="W126:W157" si="53">IF(1000/($D126+$I$10+$I$13)&lt;$J$13,$J$13,1000/($D126+$I$10+$I$13))</f>
        <v>23.621267770866861</v>
      </c>
      <c r="X126" s="155">
        <f t="shared" ref="X126:X189" si="54">$I$10+Tdead+$J$10+$B126*Lm/$C$10+$K$10+$B126*Lm/VOR+$L$10</f>
        <v>7.2398006320263359</v>
      </c>
      <c r="Y126" s="208">
        <f t="shared" ref="Y126:Y157" si="55">MIN(W126,1000/X126)</f>
        <v>23.621267770866861</v>
      </c>
      <c r="Z126" s="208">
        <f t="shared" si="24"/>
        <v>5.6119646126049068</v>
      </c>
    </row>
    <row r="127" spans="1:26" s="108" customFormat="1">
      <c r="A127" s="150">
        <v>1.52</v>
      </c>
      <c r="B127" s="151">
        <f t="shared" si="25"/>
        <v>1.4168724114531293</v>
      </c>
      <c r="C127" s="152">
        <f t="shared" ref="C127:C190" si="56">IF($A127&lt;$A$13,$H$13,IF($A127&gt;$B$13,$F$13,$F$13*($G$13-(($A127-$A$13)*($G$13-1)/($B$13-$A$13)))))</f>
        <v>39.527563025210085</v>
      </c>
      <c r="D127" s="152">
        <f t="shared" si="16"/>
        <v>39.827563025210083</v>
      </c>
      <c r="E127" s="153">
        <f t="shared" ref="E127:E190" si="57">IF(1*1000/(D127+$I$6+$I$13)&lt;$J$13,$J$13,1*1000/(D127+$I$6+$I$13))</f>
        <v>24.258242839896184</v>
      </c>
      <c r="F127" s="154">
        <f t="shared" si="41"/>
        <v>5.8438905495441418</v>
      </c>
      <c r="G127" s="155">
        <f t="shared" ref="G127:G158" si="58">IF(1000/($D127+$I$10+$I$13)&lt;$J$13,$J$13,1000/($D127+$I$10+$I$13))</f>
        <v>23.939938981047916</v>
      </c>
      <c r="H127" s="155">
        <f t="shared" si="42"/>
        <v>12.336231550184852</v>
      </c>
      <c r="I127" s="206">
        <f t="shared" si="43"/>
        <v>23.939938981047916</v>
      </c>
      <c r="J127" s="206">
        <f t="shared" ref="J127:J190" si="59">0.5*$A$3*$B127*$B127*I127*0.001</f>
        <v>5.7672101022057394</v>
      </c>
      <c r="K127" s="155">
        <f t="shared" si="44"/>
        <v>24.193273364400898</v>
      </c>
      <c r="L127" s="155">
        <f t="shared" si="45"/>
        <v>7.6398607621333765</v>
      </c>
      <c r="M127" s="208">
        <f t="shared" si="46"/>
        <v>24.193273364400898</v>
      </c>
      <c r="N127" s="208">
        <f t="shared" ref="N127:N190" si="60">0.5*$A$3*$B127*$B127*M127*0.001</f>
        <v>5.8282391890411747</v>
      </c>
      <c r="O127" s="155">
        <f t="shared" si="47"/>
        <v>24.156545414649717</v>
      </c>
      <c r="P127" s="155">
        <f t="shared" si="48"/>
        <v>7.3526395674134664</v>
      </c>
      <c r="Q127" s="208">
        <f t="shared" si="49"/>
        <v>24.156545414649717</v>
      </c>
      <c r="R127" s="208">
        <f t="shared" ref="R127:R190" si="61">0.5*$A$3*$B127*$B127*Q127*0.001</f>
        <v>5.8193913050509103</v>
      </c>
      <c r="S127" s="155">
        <f t="shared" si="50"/>
        <v>23.989023183406701</v>
      </c>
      <c r="T127" s="155">
        <f t="shared" si="51"/>
        <v>7.2650628298386257</v>
      </c>
      <c r="U127" s="208">
        <f t="shared" si="52"/>
        <v>23.989023183406701</v>
      </c>
      <c r="V127" s="208">
        <f t="shared" ref="V127:V190" si="62">0.5*$A$3*$B127*$B127*U127*0.001</f>
        <v>5.7790346481215167</v>
      </c>
      <c r="W127" s="155">
        <f t="shared" si="53"/>
        <v>23.939938981047916</v>
      </c>
      <c r="X127" s="155">
        <f t="shared" si="54"/>
        <v>7.2642023790134642</v>
      </c>
      <c r="Y127" s="208">
        <f t="shared" si="55"/>
        <v>23.939938981047916</v>
      </c>
      <c r="Z127" s="208">
        <f t="shared" ref="Z127:Z190" si="63">0.5*$A$3*$B127*$B127*Y127*0.001</f>
        <v>5.7672101022057394</v>
      </c>
    </row>
    <row r="128" spans="1:26" s="108" customFormat="1">
      <c r="A128" s="150">
        <v>1.53</v>
      </c>
      <c r="B128" s="151">
        <f t="shared" ref="B128:B191" si="64">1*(MIN($A128*$B$16,$E$16)-$E$23)/$E$3</f>
        <v>1.4266763330217569</v>
      </c>
      <c r="C128" s="152">
        <f t="shared" si="56"/>
        <v>38.96403361344538</v>
      </c>
      <c r="D128" s="152">
        <f t="shared" si="16"/>
        <v>39.264033613445378</v>
      </c>
      <c r="E128" s="153">
        <f t="shared" si="57"/>
        <v>24.594454774999726</v>
      </c>
      <c r="F128" s="154">
        <f t="shared" si="41"/>
        <v>6.0071622066893831</v>
      </c>
      <c r="G128" s="155">
        <f t="shared" si="58"/>
        <v>24.267326073163733</v>
      </c>
      <c r="H128" s="155">
        <f t="shared" si="42"/>
        <v>12.39053019271879</v>
      </c>
      <c r="I128" s="206">
        <f t="shared" si="43"/>
        <v>24.267326073163733</v>
      </c>
      <c r="J128" s="206">
        <f t="shared" si="59"/>
        <v>5.9272614651453956</v>
      </c>
      <c r="K128" s="155">
        <f t="shared" si="44"/>
        <v>24.527674383600029</v>
      </c>
      <c r="L128" s="155">
        <f t="shared" si="45"/>
        <v>7.6671875299445738</v>
      </c>
      <c r="M128" s="208">
        <f t="shared" si="46"/>
        <v>24.527674383600029</v>
      </c>
      <c r="N128" s="208">
        <f t="shared" si="60"/>
        <v>5.9908511867040177</v>
      </c>
      <c r="O128" s="155">
        <f t="shared" si="47"/>
        <v>24.48992489681828</v>
      </c>
      <c r="P128" s="155">
        <f t="shared" si="48"/>
        <v>7.3779789339293034</v>
      </c>
      <c r="Q128" s="208">
        <f t="shared" si="49"/>
        <v>24.48992489681828</v>
      </c>
      <c r="R128" s="208">
        <f t="shared" si="61"/>
        <v>5.981630925779684</v>
      </c>
      <c r="S128" s="155">
        <f t="shared" si="50"/>
        <v>24.317763356699224</v>
      </c>
      <c r="T128" s="155">
        <f t="shared" si="51"/>
        <v>7.2894705306380638</v>
      </c>
      <c r="U128" s="208">
        <f t="shared" si="52"/>
        <v>24.317763356699224</v>
      </c>
      <c r="V128" s="208">
        <f t="shared" si="62"/>
        <v>5.9395807032108179</v>
      </c>
      <c r="W128" s="155">
        <f t="shared" si="53"/>
        <v>24.267326073163733</v>
      </c>
      <c r="X128" s="155">
        <f t="shared" si="54"/>
        <v>7.2886041260005934</v>
      </c>
      <c r="Y128" s="208">
        <f t="shared" si="55"/>
        <v>24.267326073163733</v>
      </c>
      <c r="Z128" s="208">
        <f t="shared" si="63"/>
        <v>5.9272614651453956</v>
      </c>
    </row>
    <row r="129" spans="1:26" s="108" customFormat="1">
      <c r="A129" s="150">
        <v>1.54</v>
      </c>
      <c r="B129" s="151">
        <f t="shared" si="64"/>
        <v>1.4364802545903843</v>
      </c>
      <c r="C129" s="152">
        <f t="shared" si="56"/>
        <v>38.400504201680675</v>
      </c>
      <c r="D129" s="152">
        <f t="shared" si="16"/>
        <v>38.700504201680673</v>
      </c>
      <c r="E129" s="153">
        <f t="shared" si="57"/>
        <v>24.940117284409098</v>
      </c>
      <c r="F129" s="154">
        <f t="shared" si="41"/>
        <v>6.1755985833478757</v>
      </c>
      <c r="G129" s="155">
        <f t="shared" si="58"/>
        <v>24.603791583282675</v>
      </c>
      <c r="H129" s="155">
        <f t="shared" si="42"/>
        <v>12.444828835252727</v>
      </c>
      <c r="I129" s="206">
        <f t="shared" si="43"/>
        <v>24.603791583282675</v>
      </c>
      <c r="J129" s="206">
        <f t="shared" si="59"/>
        <v>6.0923186011515522</v>
      </c>
      <c r="K129" s="155">
        <f t="shared" si="44"/>
        <v>24.871449193816897</v>
      </c>
      <c r="L129" s="155">
        <f t="shared" si="45"/>
        <v>7.694514297755771</v>
      </c>
      <c r="M129" s="208">
        <f t="shared" si="46"/>
        <v>24.871449193816897</v>
      </c>
      <c r="N129" s="208">
        <f t="shared" si="60"/>
        <v>6.1585951924597548</v>
      </c>
      <c r="O129" s="155">
        <f t="shared" si="47"/>
        <v>24.832634950703966</v>
      </c>
      <c r="P129" s="155">
        <f t="shared" si="48"/>
        <v>7.4033183004451404</v>
      </c>
      <c r="Q129" s="208">
        <f t="shared" si="49"/>
        <v>24.832634950703966</v>
      </c>
      <c r="R129" s="208">
        <f t="shared" si="61"/>
        <v>6.1489841235923368</v>
      </c>
      <c r="S129" s="155">
        <f t="shared" si="50"/>
        <v>24.65563867867025</v>
      </c>
      <c r="T129" s="155">
        <f t="shared" si="51"/>
        <v>7.3138782314375002</v>
      </c>
      <c r="U129" s="208">
        <f t="shared" si="52"/>
        <v>24.65563867867025</v>
      </c>
      <c r="V129" s="208">
        <f t="shared" si="62"/>
        <v>6.1051568266167697</v>
      </c>
      <c r="W129" s="155">
        <f t="shared" si="53"/>
        <v>24.603791583282675</v>
      </c>
      <c r="X129" s="155">
        <f t="shared" si="54"/>
        <v>7.3130058729877208</v>
      </c>
      <c r="Y129" s="208">
        <f t="shared" si="55"/>
        <v>24.603791583282675</v>
      </c>
      <c r="Z129" s="208">
        <f t="shared" si="63"/>
        <v>6.0923186011515522</v>
      </c>
    </row>
    <row r="130" spans="1:26" s="108" customFormat="1">
      <c r="A130" s="150">
        <v>1.55</v>
      </c>
      <c r="B130" s="151">
        <f t="shared" si="64"/>
        <v>1.4462841761590115</v>
      </c>
      <c r="C130" s="152">
        <f t="shared" si="56"/>
        <v>37.836974789915971</v>
      </c>
      <c r="D130" s="152">
        <f>$C130+$E$13</f>
        <v>38.136974789915968</v>
      </c>
      <c r="E130" s="153">
        <f t="shared" si="57"/>
        <v>25.295634517229232</v>
      </c>
      <c r="F130" s="154">
        <f t="shared" si="41"/>
        <v>6.3494205461781901</v>
      </c>
      <c r="G130" s="155">
        <f t="shared" si="58"/>
        <v>24.949718436356779</v>
      </c>
      <c r="H130" s="155">
        <f t="shared" si="42"/>
        <v>12.499127477786661</v>
      </c>
      <c r="I130" s="206">
        <f t="shared" si="43"/>
        <v>24.949718436356779</v>
      </c>
      <c r="J130" s="206">
        <f t="shared" si="59"/>
        <v>6.2625926522327342</v>
      </c>
      <c r="K130" s="155">
        <f t="shared" si="44"/>
        <v>25.224997541157588</v>
      </c>
      <c r="L130" s="155">
        <f t="shared" si="45"/>
        <v>7.7218410655669674</v>
      </c>
      <c r="M130" s="208">
        <f t="shared" si="46"/>
        <v>25.224997541157588</v>
      </c>
      <c r="N130" s="208">
        <f t="shared" si="60"/>
        <v>6.3316900612249984</v>
      </c>
      <c r="O130" s="155">
        <f t="shared" si="47"/>
        <v>25.185072849543886</v>
      </c>
      <c r="P130" s="155">
        <f t="shared" si="48"/>
        <v>7.4286576669609774</v>
      </c>
      <c r="Q130" s="208">
        <f t="shared" si="49"/>
        <v>25.185072849543886</v>
      </c>
      <c r="R130" s="208">
        <f t="shared" si="61"/>
        <v>6.3216686222664613</v>
      </c>
      <c r="S130" s="155">
        <f t="shared" si="50"/>
        <v>25.00303529056821</v>
      </c>
      <c r="T130" s="155">
        <f t="shared" si="51"/>
        <v>7.3382859322369374</v>
      </c>
      <c r="U130" s="208">
        <f t="shared" si="52"/>
        <v>25.00303529056821</v>
      </c>
      <c r="V130" s="208">
        <f t="shared" si="62"/>
        <v>6.2759756385087684</v>
      </c>
      <c r="W130" s="155">
        <f t="shared" si="53"/>
        <v>24.949718436356779</v>
      </c>
      <c r="X130" s="155">
        <f t="shared" si="54"/>
        <v>7.3374076199748481</v>
      </c>
      <c r="Y130" s="208">
        <f t="shared" si="55"/>
        <v>24.949718436356779</v>
      </c>
      <c r="Z130" s="208">
        <f t="shared" si="63"/>
        <v>6.2625926522327342</v>
      </c>
    </row>
    <row r="131" spans="1:26" s="108" customFormat="1">
      <c r="A131" s="150">
        <v>1.56</v>
      </c>
      <c r="B131" s="151">
        <f t="shared" si="64"/>
        <v>1.4560880977276394</v>
      </c>
      <c r="C131" s="152">
        <f t="shared" si="56"/>
        <v>37.273445378151266</v>
      </c>
      <c r="D131" s="152">
        <f t="shared" si="16"/>
        <v>37.573445378151263</v>
      </c>
      <c r="E131" s="153">
        <f t="shared" si="57"/>
        <v>25.661434000121922</v>
      </c>
      <c r="F131" s="154">
        <f t="shared" si="41"/>
        <v>6.5288617376258768</v>
      </c>
      <c r="G131" s="155">
        <f t="shared" si="58"/>
        <v>25.305511399989967</v>
      </c>
      <c r="H131" s="155">
        <f t="shared" si="42"/>
        <v>12.553426120320601</v>
      </c>
      <c r="I131" s="206">
        <f t="shared" si="43"/>
        <v>25.305511399989967</v>
      </c>
      <c r="J131" s="206">
        <f t="shared" si="59"/>
        <v>6.4383068042754337</v>
      </c>
      <c r="K131" s="155">
        <f t="shared" si="44"/>
        <v>25.588742229097747</v>
      </c>
      <c r="L131" s="155">
        <f t="shared" si="45"/>
        <v>7.7491678333781655</v>
      </c>
      <c r="M131" s="208">
        <f t="shared" si="46"/>
        <v>25.588742229097747</v>
      </c>
      <c r="N131" s="208">
        <f t="shared" si="60"/>
        <v>6.5103672714757099</v>
      </c>
      <c r="O131" s="155">
        <f t="shared" si="47"/>
        <v>25.547658744519257</v>
      </c>
      <c r="P131" s="155">
        <f t="shared" si="48"/>
        <v>7.4539970334768153</v>
      </c>
      <c r="Q131" s="208">
        <f t="shared" si="49"/>
        <v>25.547658744519257</v>
      </c>
      <c r="R131" s="208">
        <f t="shared" si="61"/>
        <v>6.4999146837321113</v>
      </c>
      <c r="S131" s="155">
        <f t="shared" si="50"/>
        <v>25.360361407497972</v>
      </c>
      <c r="T131" s="155">
        <f t="shared" si="51"/>
        <v>7.3626936330363755</v>
      </c>
      <c r="U131" s="208">
        <f t="shared" si="52"/>
        <v>25.360361407497972</v>
      </c>
      <c r="V131" s="208">
        <f t="shared" si="62"/>
        <v>6.4522619135388455</v>
      </c>
      <c r="W131" s="155">
        <f t="shared" si="53"/>
        <v>25.305511399989967</v>
      </c>
      <c r="X131" s="155">
        <f t="shared" si="54"/>
        <v>7.3618093669619773</v>
      </c>
      <c r="Y131" s="208">
        <f t="shared" si="55"/>
        <v>25.305511399989967</v>
      </c>
      <c r="Z131" s="208">
        <f t="shared" si="63"/>
        <v>6.4383068042754337</v>
      </c>
    </row>
    <row r="132" spans="1:26" s="108" customFormat="1">
      <c r="A132" s="150">
        <v>1.57</v>
      </c>
      <c r="B132" s="151">
        <f t="shared" si="64"/>
        <v>1.4658920192962666</v>
      </c>
      <c r="C132" s="152">
        <f t="shared" si="56"/>
        <v>36.709915966386561</v>
      </c>
      <c r="D132" s="152">
        <f t="shared" si="16"/>
        <v>37.009915966386558</v>
      </c>
      <c r="E132" s="153">
        <f t="shared" si="57"/>
        <v>26.037968352419099</v>
      </c>
      <c r="F132" s="154">
        <f t="shared" si="41"/>
        <v>6.7141695132293382</v>
      </c>
      <c r="G132" s="155">
        <f t="shared" si="58"/>
        <v>25.671598664393585</v>
      </c>
      <c r="H132" s="155">
        <f t="shared" si="42"/>
        <v>12.607724762854536</v>
      </c>
      <c r="I132" s="206">
        <f t="shared" si="43"/>
        <v>25.671598664393585</v>
      </c>
      <c r="J132" s="206">
        <f t="shared" si="59"/>
        <v>6.6196971582199771</v>
      </c>
      <c r="K132" s="155">
        <f t="shared" si="44"/>
        <v>25.963130805243047</v>
      </c>
      <c r="L132" s="155">
        <f t="shared" si="45"/>
        <v>7.776494601189361</v>
      </c>
      <c r="M132" s="208">
        <f t="shared" si="46"/>
        <v>25.963130805243047</v>
      </c>
      <c r="N132" s="208">
        <f t="shared" si="60"/>
        <v>6.6948718487228973</v>
      </c>
      <c r="O132" s="155">
        <f t="shared" si="47"/>
        <v>25.920837335663688</v>
      </c>
      <c r="P132" s="155">
        <f t="shared" si="48"/>
        <v>7.4793363999926514</v>
      </c>
      <c r="Q132" s="208">
        <f t="shared" si="49"/>
        <v>25.920837335663688</v>
      </c>
      <c r="R132" s="208">
        <f t="shared" si="61"/>
        <v>6.6839660238054153</v>
      </c>
      <c r="S132" s="155">
        <f t="shared" si="50"/>
        <v>25.728048918611247</v>
      </c>
      <c r="T132" s="155">
        <f t="shared" si="51"/>
        <v>7.3871013338358118</v>
      </c>
      <c r="U132" s="208">
        <f t="shared" si="52"/>
        <v>25.728048918611247</v>
      </c>
      <c r="V132" s="208">
        <f t="shared" si="62"/>
        <v>6.6342534619512188</v>
      </c>
      <c r="W132" s="155">
        <f t="shared" si="53"/>
        <v>25.671598664393585</v>
      </c>
      <c r="X132" s="155">
        <f t="shared" si="54"/>
        <v>7.3862111139491047</v>
      </c>
      <c r="Y132" s="208">
        <f t="shared" si="55"/>
        <v>25.671598664393585</v>
      </c>
      <c r="Z132" s="208">
        <f t="shared" si="63"/>
        <v>6.6196971582199771</v>
      </c>
    </row>
    <row r="133" spans="1:26" s="108" customFormat="1">
      <c r="A133" s="150">
        <v>1.58</v>
      </c>
      <c r="B133" s="151">
        <f t="shared" si="64"/>
        <v>1.4756959408648938</v>
      </c>
      <c r="C133" s="152">
        <f t="shared" si="56"/>
        <v>36.146386554621849</v>
      </c>
      <c r="D133" s="152">
        <f t="shared" si="16"/>
        <v>36.446386554621846</v>
      </c>
      <c r="E133" s="153">
        <f t="shared" si="57"/>
        <v>26.425717154481525</v>
      </c>
      <c r="F133" s="154">
        <f t="shared" si="41"/>
        <v>6.9056059626740511</v>
      </c>
      <c r="G133" s="155">
        <f t="shared" si="58"/>
        <v>26.048433561495536</v>
      </c>
      <c r="H133" s="155">
        <f t="shared" si="42"/>
        <v>12.662023405388471</v>
      </c>
      <c r="I133" s="206">
        <f t="shared" si="43"/>
        <v>26.048433561495536</v>
      </c>
      <c r="J133" s="206">
        <f t="shared" si="59"/>
        <v>6.8070136779647106</v>
      </c>
      <c r="K133" s="155">
        <f t="shared" si="44"/>
        <v>26.348637398362126</v>
      </c>
      <c r="L133" s="155">
        <f t="shared" si="45"/>
        <v>7.8038213690005565</v>
      </c>
      <c r="M133" s="208">
        <f t="shared" si="46"/>
        <v>26.348637398362126</v>
      </c>
      <c r="N133" s="208">
        <f t="shared" si="60"/>
        <v>6.8854633712602418</v>
      </c>
      <c r="O133" s="155">
        <f t="shared" si="47"/>
        <v>26.30507969138559</v>
      </c>
      <c r="P133" s="155">
        <f t="shared" si="48"/>
        <v>7.5046757665084884</v>
      </c>
      <c r="Q133" s="208">
        <f t="shared" si="49"/>
        <v>26.30507969138559</v>
      </c>
      <c r="R133" s="208">
        <f t="shared" si="61"/>
        <v>6.8740808093695218</v>
      </c>
      <c r="S133" s="155">
        <f t="shared" si="50"/>
        <v>26.106555128547161</v>
      </c>
      <c r="T133" s="155">
        <f t="shared" si="51"/>
        <v>7.4115090346352481</v>
      </c>
      <c r="U133" s="208">
        <f t="shared" si="52"/>
        <v>26.106555128547161</v>
      </c>
      <c r="V133" s="208">
        <f t="shared" si="62"/>
        <v>6.8222020884682104</v>
      </c>
      <c r="W133" s="155">
        <f t="shared" si="53"/>
        <v>26.048433561495536</v>
      </c>
      <c r="X133" s="155">
        <f t="shared" si="54"/>
        <v>7.4106128609362321</v>
      </c>
      <c r="Y133" s="208">
        <f t="shared" si="55"/>
        <v>26.048433561495536</v>
      </c>
      <c r="Z133" s="208">
        <f t="shared" si="63"/>
        <v>6.8070136779647106</v>
      </c>
    </row>
    <row r="134" spans="1:26" s="108" customFormat="1">
      <c r="A134" s="150">
        <v>1.59</v>
      </c>
      <c r="B134" s="151">
        <f t="shared" si="64"/>
        <v>1.4854998624335214</v>
      </c>
      <c r="C134" s="152">
        <f t="shared" si="56"/>
        <v>35.582857142857144</v>
      </c>
      <c r="D134" s="152">
        <f t="shared" si="16"/>
        <v>35.882857142857141</v>
      </c>
      <c r="E134" s="153">
        <f t="shared" si="57"/>
        <v>26.82518898551886</v>
      </c>
      <c r="F134" s="154">
        <f t="shared" si="41"/>
        <v>7.1034490234570651</v>
      </c>
      <c r="G134" s="155">
        <f t="shared" si="58"/>
        <v>26.436496437714442</v>
      </c>
      <c r="H134" s="155">
        <f t="shared" si="42"/>
        <v>12.716322047922409</v>
      </c>
      <c r="I134" s="206">
        <f t="shared" si="43"/>
        <v>26.436496437714442</v>
      </c>
      <c r="J134" s="206">
        <f t="shared" si="59"/>
        <v>7.0005212229999332</v>
      </c>
      <c r="K134" s="155">
        <f t="shared" si="44"/>
        <v>26.745764721546333</v>
      </c>
      <c r="L134" s="155">
        <f t="shared" si="45"/>
        <v>7.8311481368117546</v>
      </c>
      <c r="M134" s="208">
        <f t="shared" si="46"/>
        <v>26.745764721546333</v>
      </c>
      <c r="N134" s="208">
        <f t="shared" si="60"/>
        <v>7.0824170668636182</v>
      </c>
      <c r="O134" s="155">
        <f t="shared" si="47"/>
        <v>26.700885232257793</v>
      </c>
      <c r="P134" s="155">
        <f t="shared" si="48"/>
        <v>7.5300151330243255</v>
      </c>
      <c r="Q134" s="208">
        <f t="shared" si="49"/>
        <v>26.700885232257793</v>
      </c>
      <c r="R134" s="208">
        <f t="shared" si="61"/>
        <v>7.0705327455814073</v>
      </c>
      <c r="S134" s="155">
        <f t="shared" si="50"/>
        <v>26.496364654886566</v>
      </c>
      <c r="T134" s="155">
        <f t="shared" si="51"/>
        <v>7.4359167354346853</v>
      </c>
      <c r="U134" s="208">
        <f t="shared" si="52"/>
        <v>26.496364654886566</v>
      </c>
      <c r="V134" s="208">
        <f t="shared" si="62"/>
        <v>7.0163746370816389</v>
      </c>
      <c r="W134" s="155">
        <f t="shared" si="53"/>
        <v>26.436496437714442</v>
      </c>
      <c r="X134" s="155">
        <f t="shared" si="54"/>
        <v>7.4350146079233612</v>
      </c>
      <c r="Y134" s="208">
        <f t="shared" si="55"/>
        <v>26.436496437714442</v>
      </c>
      <c r="Z134" s="208">
        <f t="shared" si="63"/>
        <v>7.0005212229999332</v>
      </c>
    </row>
    <row r="135" spans="1:26" s="108" customFormat="1">
      <c r="A135" s="150">
        <v>1.6</v>
      </c>
      <c r="B135" s="151">
        <f t="shared" si="64"/>
        <v>1.4953037840021488</v>
      </c>
      <c r="C135" s="152">
        <f t="shared" si="56"/>
        <v>35.019327731092439</v>
      </c>
      <c r="D135" s="152">
        <f t="shared" si="16"/>
        <v>35.319327731092436</v>
      </c>
      <c r="E135" s="153">
        <f t="shared" si="57"/>
        <v>27.236923649078452</v>
      </c>
      <c r="F135" s="154">
        <f t="shared" si="41"/>
        <v>7.3079936971120478</v>
      </c>
      <c r="G135" s="155">
        <f t="shared" si="58"/>
        <v>26.83629669666615</v>
      </c>
      <c r="H135" s="155">
        <f t="shared" si="42"/>
        <v>12.770620690456346</v>
      </c>
      <c r="I135" s="206">
        <f t="shared" si="43"/>
        <v>26.83629669666615</v>
      </c>
      <c r="J135" s="206">
        <f t="shared" si="59"/>
        <v>7.2005006747412414</v>
      </c>
      <c r="K135" s="155">
        <f t="shared" si="44"/>
        <v>27.155046259291666</v>
      </c>
      <c r="L135" s="155">
        <f t="shared" si="45"/>
        <v>7.858474904622951</v>
      </c>
      <c r="M135" s="208">
        <f t="shared" si="46"/>
        <v>27.155046259291666</v>
      </c>
      <c r="N135" s="208">
        <f t="shared" si="60"/>
        <v>7.2860250101851713</v>
      </c>
      <c r="O135" s="155">
        <f t="shared" si="47"/>
        <v>27.108783896640528</v>
      </c>
      <c r="P135" s="155">
        <f t="shared" si="48"/>
        <v>7.5553544995401625</v>
      </c>
      <c r="Q135" s="208">
        <f t="shared" si="49"/>
        <v>27.108783896640528</v>
      </c>
      <c r="R135" s="208">
        <f t="shared" si="61"/>
        <v>7.2736122627316071</v>
      </c>
      <c r="S135" s="155">
        <f t="shared" si="50"/>
        <v>26.897991498173877</v>
      </c>
      <c r="T135" s="155">
        <f t="shared" si="51"/>
        <v>7.4603244362341234</v>
      </c>
      <c r="U135" s="208">
        <f t="shared" si="52"/>
        <v>26.897991498173877</v>
      </c>
      <c r="V135" s="208">
        <f t="shared" si="62"/>
        <v>7.2170541308647014</v>
      </c>
      <c r="W135" s="155">
        <f t="shared" si="53"/>
        <v>26.83629669666615</v>
      </c>
      <c r="X135" s="155">
        <f t="shared" si="54"/>
        <v>7.4594163549104886</v>
      </c>
      <c r="Y135" s="208">
        <f t="shared" si="55"/>
        <v>26.83629669666615</v>
      </c>
      <c r="Z135" s="208">
        <f t="shared" si="63"/>
        <v>7.2005006747412414</v>
      </c>
    </row>
    <row r="136" spans="1:26" s="108" customFormat="1">
      <c r="A136" s="150">
        <v>1.61</v>
      </c>
      <c r="B136" s="151">
        <f t="shared" si="64"/>
        <v>1.5051077055707762</v>
      </c>
      <c r="C136" s="152">
        <f t="shared" si="56"/>
        <v>34.455798319327734</v>
      </c>
      <c r="D136" s="152">
        <f t="shared" si="16"/>
        <v>34.755798319327731</v>
      </c>
      <c r="E136" s="153">
        <f t="shared" si="57"/>
        <v>27.661494606680478</v>
      </c>
      <c r="F136" s="154">
        <f t="shared" si="41"/>
        <v>7.5195533791859281</v>
      </c>
      <c r="G136" s="155">
        <f t="shared" si="58"/>
        <v>27.248375030067887</v>
      </c>
      <c r="H136" s="155">
        <f t="shared" si="42"/>
        <v>12.824919332990282</v>
      </c>
      <c r="I136" s="206">
        <f t="shared" si="43"/>
        <v>27.248375030067887</v>
      </c>
      <c r="J136" s="206">
        <f t="shared" si="59"/>
        <v>7.4072501666337471</v>
      </c>
      <c r="K136" s="155">
        <f t="shared" si="44"/>
        <v>27.577048658510424</v>
      </c>
      <c r="L136" s="155">
        <f t="shared" si="45"/>
        <v>7.8858016724341482</v>
      </c>
      <c r="M136" s="208">
        <f t="shared" si="46"/>
        <v>27.577048658510424</v>
      </c>
      <c r="N136" s="208">
        <f t="shared" si="60"/>
        <v>7.4965974317958937</v>
      </c>
      <c r="O136" s="155">
        <f t="shared" si="47"/>
        <v>27.529338507883892</v>
      </c>
      <c r="P136" s="155">
        <f t="shared" si="48"/>
        <v>7.5806938660559995</v>
      </c>
      <c r="Q136" s="208">
        <f t="shared" si="49"/>
        <v>27.529338507883892</v>
      </c>
      <c r="R136" s="208">
        <f t="shared" si="61"/>
        <v>7.483627813578714</v>
      </c>
      <c r="S136" s="155">
        <f t="shared" si="50"/>
        <v>27.311981303098399</v>
      </c>
      <c r="T136" s="155">
        <f t="shared" si="51"/>
        <v>7.4847321370335598</v>
      </c>
      <c r="U136" s="208">
        <f t="shared" si="52"/>
        <v>27.311981303098399</v>
      </c>
      <c r="V136" s="208">
        <f t="shared" si="62"/>
        <v>7.4245410170416815</v>
      </c>
      <c r="W136" s="155">
        <f t="shared" si="53"/>
        <v>27.248375030067887</v>
      </c>
      <c r="X136" s="155">
        <f t="shared" si="54"/>
        <v>7.4838181018976178</v>
      </c>
      <c r="Y136" s="208">
        <f t="shared" si="55"/>
        <v>27.248375030067887</v>
      </c>
      <c r="Z136" s="208">
        <f t="shared" si="63"/>
        <v>7.4072501666337471</v>
      </c>
    </row>
    <row r="137" spans="1:26" s="108" customFormat="1">
      <c r="A137" s="150">
        <v>1.62</v>
      </c>
      <c r="B137" s="151">
        <f t="shared" si="64"/>
        <v>1.5149116271394039</v>
      </c>
      <c r="C137" s="152">
        <f t="shared" si="56"/>
        <v>33.892268907563022</v>
      </c>
      <c r="D137" s="152">
        <f t="shared" si="16"/>
        <v>34.192268907563019</v>
      </c>
      <c r="E137" s="153">
        <f t="shared" si="57"/>
        <v>28.099511642671327</v>
      </c>
      <c r="F137" s="154">
        <f t="shared" si="41"/>
        <v>7.7384613155758082</v>
      </c>
      <c r="G137" s="155">
        <f t="shared" si="58"/>
        <v>27.673305857384474</v>
      </c>
      <c r="H137" s="155">
        <f t="shared" si="42"/>
        <v>12.87921797552422</v>
      </c>
      <c r="I137" s="206">
        <f t="shared" si="43"/>
        <v>27.673305857384474</v>
      </c>
      <c r="J137" s="206">
        <f t="shared" si="59"/>
        <v>7.621086429355068</v>
      </c>
      <c r="K137" s="155">
        <f t="shared" si="44"/>
        <v>28.012374346007061</v>
      </c>
      <c r="L137" s="155">
        <f t="shared" si="45"/>
        <v>7.9131284402453455</v>
      </c>
      <c r="M137" s="208">
        <f t="shared" si="46"/>
        <v>28.012374346007061</v>
      </c>
      <c r="N137" s="208">
        <f t="shared" si="60"/>
        <v>7.7144641512138383</v>
      </c>
      <c r="O137" s="155">
        <f t="shared" si="47"/>
        <v>27.963147365345456</v>
      </c>
      <c r="P137" s="155">
        <f t="shared" si="48"/>
        <v>7.6060332325718374</v>
      </c>
      <c r="Q137" s="208">
        <f t="shared" si="49"/>
        <v>27.963147365345456</v>
      </c>
      <c r="R137" s="208">
        <f t="shared" si="61"/>
        <v>7.7009072933446809</v>
      </c>
      <c r="S137" s="155">
        <f t="shared" si="50"/>
        <v>27.738913831752257</v>
      </c>
      <c r="T137" s="155">
        <f t="shared" si="51"/>
        <v>7.5091398378329979</v>
      </c>
      <c r="U137" s="208">
        <f t="shared" si="52"/>
        <v>27.738913831752257</v>
      </c>
      <c r="V137" s="208">
        <f t="shared" si="62"/>
        <v>7.6391545288329024</v>
      </c>
      <c r="W137" s="155">
        <f t="shared" si="53"/>
        <v>27.673305857384474</v>
      </c>
      <c r="X137" s="155">
        <f t="shared" si="54"/>
        <v>7.508219848884746</v>
      </c>
      <c r="Y137" s="208">
        <f t="shared" si="55"/>
        <v>27.673305857384474</v>
      </c>
      <c r="Z137" s="208">
        <f t="shared" si="63"/>
        <v>7.621086429355068</v>
      </c>
    </row>
    <row r="138" spans="1:26" s="108" customFormat="1">
      <c r="A138" s="150">
        <v>1.63</v>
      </c>
      <c r="B138" s="151">
        <f t="shared" si="64"/>
        <v>1.5247155487080308</v>
      </c>
      <c r="C138" s="152">
        <f t="shared" si="56"/>
        <v>33.328739495798331</v>
      </c>
      <c r="D138" s="152">
        <f t="shared" si="16"/>
        <v>33.628739495798328</v>
      </c>
      <c r="E138" s="153">
        <f t="shared" si="57"/>
        <v>28.551623786336776</v>
      </c>
      <c r="F138" s="154">
        <f t="shared" si="41"/>
        <v>7.96507219945783</v>
      </c>
      <c r="G138" s="155">
        <f t="shared" si="58"/>
        <v>28.111699997364333</v>
      </c>
      <c r="H138" s="155">
        <f t="shared" si="42"/>
        <v>12.933516618058153</v>
      </c>
      <c r="I138" s="206">
        <f t="shared" si="43"/>
        <v>28.111699997364333</v>
      </c>
      <c r="J138" s="206">
        <f t="shared" si="59"/>
        <v>7.8423462638806951</v>
      </c>
      <c r="K138" s="155">
        <f t="shared" si="44"/>
        <v>28.461664397843911</v>
      </c>
      <c r="L138" s="155">
        <f t="shared" si="45"/>
        <v>7.9404552080565418</v>
      </c>
      <c r="M138" s="208">
        <f t="shared" si="46"/>
        <v>28.461664397843911</v>
      </c>
      <c r="N138" s="208">
        <f t="shared" si="60"/>
        <v>7.9399761478382498</v>
      </c>
      <c r="O138" s="155">
        <f t="shared" si="47"/>
        <v>28.410847084306301</v>
      </c>
      <c r="P138" s="155">
        <f t="shared" si="48"/>
        <v>7.6313725990876735</v>
      </c>
      <c r="Q138" s="208">
        <f t="shared" si="49"/>
        <v>28.410847084306301</v>
      </c>
      <c r="R138" s="208">
        <f t="shared" si="61"/>
        <v>7.9257995961178098</v>
      </c>
      <c r="S138" s="155">
        <f t="shared" si="50"/>
        <v>28.179405672539168</v>
      </c>
      <c r="T138" s="155">
        <f t="shared" si="51"/>
        <v>7.5335475386324333</v>
      </c>
      <c r="U138" s="208">
        <f t="shared" si="52"/>
        <v>28.179405672539168</v>
      </c>
      <c r="V138" s="208">
        <f t="shared" si="62"/>
        <v>7.8612341770556604</v>
      </c>
      <c r="W138" s="155">
        <f t="shared" si="53"/>
        <v>28.111699997364333</v>
      </c>
      <c r="X138" s="155">
        <f t="shared" si="54"/>
        <v>7.5326215958718725</v>
      </c>
      <c r="Y138" s="208">
        <f t="shared" si="55"/>
        <v>28.111699997364333</v>
      </c>
      <c r="Z138" s="208">
        <f t="shared" si="63"/>
        <v>7.8423462638806951</v>
      </c>
    </row>
    <row r="139" spans="1:26" s="108" customFormat="1">
      <c r="A139" s="150">
        <v>1.64</v>
      </c>
      <c r="B139" s="151">
        <f t="shared" si="64"/>
        <v>1.5345194702766585</v>
      </c>
      <c r="C139" s="152">
        <f t="shared" si="56"/>
        <v>32.765210084033619</v>
      </c>
      <c r="D139" s="152">
        <f t="shared" si="16"/>
        <v>33.065210084033616</v>
      </c>
      <c r="E139" s="153">
        <f t="shared" si="57"/>
        <v>29.018522520723526</v>
      </c>
      <c r="F139" s="154">
        <f t="shared" si="41"/>
        <v>8.1997639249015855</v>
      </c>
      <c r="G139" s="155">
        <f t="shared" si="58"/>
        <v>28.564207597594262</v>
      </c>
      <c r="H139" s="155">
        <f t="shared" si="42"/>
        <v>12.987815260592091</v>
      </c>
      <c r="I139" s="206">
        <f t="shared" si="43"/>
        <v>28.564207597594262</v>
      </c>
      <c r="J139" s="206">
        <f t="shared" si="59"/>
        <v>8.0713881568189958</v>
      </c>
      <c r="K139" s="155">
        <f t="shared" si="44"/>
        <v>28.925601689338372</v>
      </c>
      <c r="L139" s="155">
        <f t="shared" si="45"/>
        <v>7.9677819758677382</v>
      </c>
      <c r="M139" s="208">
        <f t="shared" si="46"/>
        <v>28.925601689338372</v>
      </c>
      <c r="N139" s="208">
        <f t="shared" si="60"/>
        <v>8.1735072855251421</v>
      </c>
      <c r="O139" s="155">
        <f t="shared" si="47"/>
        <v>28.873115713134339</v>
      </c>
      <c r="P139" s="155">
        <f t="shared" si="48"/>
        <v>7.6567119656035105</v>
      </c>
      <c r="Q139" s="208">
        <f t="shared" si="49"/>
        <v>28.873115713134339</v>
      </c>
      <c r="R139" s="208">
        <f t="shared" si="61"/>
        <v>8.1586763231998294</v>
      </c>
      <c r="S139" s="155">
        <f t="shared" si="50"/>
        <v>28.634113211351725</v>
      </c>
      <c r="T139" s="155">
        <f t="shared" si="51"/>
        <v>7.5579552394318705</v>
      </c>
      <c r="U139" s="208">
        <f t="shared" si="52"/>
        <v>28.634113211351725</v>
      </c>
      <c r="V139" s="208">
        <f t="shared" si="62"/>
        <v>8.0911413861375188</v>
      </c>
      <c r="W139" s="155">
        <f t="shared" si="53"/>
        <v>28.564207597594262</v>
      </c>
      <c r="X139" s="155">
        <f t="shared" si="54"/>
        <v>7.5570233428590017</v>
      </c>
      <c r="Y139" s="208">
        <f t="shared" si="55"/>
        <v>28.564207597594262</v>
      </c>
      <c r="Z139" s="208">
        <f t="shared" si="63"/>
        <v>8.0713881568189958</v>
      </c>
    </row>
    <row r="140" spans="1:26" s="108" customFormat="1">
      <c r="A140" s="150">
        <v>1.65</v>
      </c>
      <c r="B140" s="151">
        <f t="shared" si="64"/>
        <v>1.5443233918452859</v>
      </c>
      <c r="C140" s="152">
        <f t="shared" si="56"/>
        <v>32.201680672268914</v>
      </c>
      <c r="D140" s="152">
        <f>$C140+$E$13</f>
        <v>32.501680672268911</v>
      </c>
      <c r="E140" s="153">
        <f t="shared" si="57"/>
        <v>29.50094531153373</v>
      </c>
      <c r="F140" s="154">
        <f t="shared" si="41"/>
        <v>8.4429395154037437</v>
      </c>
      <c r="G140" s="155">
        <f t="shared" si="58"/>
        <v>29.031521351621148</v>
      </c>
      <c r="H140" s="155">
        <f t="shared" si="42"/>
        <v>13.042113903126028</v>
      </c>
      <c r="I140" s="206">
        <f t="shared" si="43"/>
        <v>29.031521351621148</v>
      </c>
      <c r="J140" s="206">
        <f t="shared" si="59"/>
        <v>8.3085940543085108</v>
      </c>
      <c r="K140" s="155">
        <f t="shared" si="44"/>
        <v>29.404914358242689</v>
      </c>
      <c r="L140" s="155">
        <f t="shared" si="45"/>
        <v>7.9951087436789354</v>
      </c>
      <c r="M140" s="208">
        <f t="shared" si="46"/>
        <v>29.404914358242689</v>
      </c>
      <c r="N140" s="208">
        <f t="shared" si="60"/>
        <v>8.4154562086255762</v>
      </c>
      <c r="O140" s="155">
        <f t="shared" si="47"/>
        <v>29.350676159794109</v>
      </c>
      <c r="P140" s="155">
        <f t="shared" si="48"/>
        <v>7.6820513321193475</v>
      </c>
      <c r="Q140" s="208">
        <f t="shared" si="49"/>
        <v>29.350676159794109</v>
      </c>
      <c r="R140" s="208">
        <f t="shared" si="61"/>
        <v>8.3999336609888804</v>
      </c>
      <c r="S140" s="155">
        <f t="shared" si="50"/>
        <v>29.103735895126768</v>
      </c>
      <c r="T140" s="155">
        <f t="shared" si="51"/>
        <v>7.5823629402313086</v>
      </c>
      <c r="U140" s="208">
        <f t="shared" si="52"/>
        <v>29.103735895126768</v>
      </c>
      <c r="V140" s="208">
        <f t="shared" si="62"/>
        <v>8.3292612911211581</v>
      </c>
      <c r="W140" s="155">
        <f t="shared" si="53"/>
        <v>29.031521351621148</v>
      </c>
      <c r="X140" s="155">
        <f t="shared" si="54"/>
        <v>7.5814250898461291</v>
      </c>
      <c r="Y140" s="208">
        <f t="shared" si="55"/>
        <v>29.031521351621148</v>
      </c>
      <c r="Z140" s="208">
        <f t="shared" si="63"/>
        <v>8.3085940543085108</v>
      </c>
    </row>
    <row r="141" spans="1:26" s="108" customFormat="1">
      <c r="A141" s="150">
        <v>1.66</v>
      </c>
      <c r="B141" s="151">
        <f t="shared" si="64"/>
        <v>1.5541273134139133</v>
      </c>
      <c r="C141" s="152">
        <f t="shared" si="56"/>
        <v>31.638151260504213</v>
      </c>
      <c r="D141" s="152">
        <f t="shared" si="16"/>
        <v>31.938151260504213</v>
      </c>
      <c r="E141" s="153">
        <f t="shared" si="57"/>
        <v>29.999679493970383</v>
      </c>
      <c r="F141" s="154">
        <f t="shared" si="41"/>
        <v>8.6950292480410987</v>
      </c>
      <c r="G141" s="155">
        <f t="shared" si="58"/>
        <v>29.514380037121132</v>
      </c>
      <c r="H141" s="155">
        <f t="shared" si="42"/>
        <v>13.096412545659964</v>
      </c>
      <c r="I141" s="206">
        <f t="shared" si="43"/>
        <v>29.514380037121132</v>
      </c>
      <c r="J141" s="206">
        <f t="shared" si="59"/>
        <v>8.5543713129384678</v>
      </c>
      <c r="K141" s="155">
        <f t="shared" si="44"/>
        <v>29.900379618046088</v>
      </c>
      <c r="L141" s="155">
        <f t="shared" si="45"/>
        <v>8.0224355114901318</v>
      </c>
      <c r="M141" s="208">
        <f t="shared" si="46"/>
        <v>29.900379618046088</v>
      </c>
      <c r="N141" s="208">
        <f t="shared" si="60"/>
        <v>8.6662484297106204</v>
      </c>
      <c r="O141" s="155">
        <f t="shared" si="47"/>
        <v>29.844299964121905</v>
      </c>
      <c r="P141" s="155">
        <f t="shared" si="48"/>
        <v>7.7073906986351846</v>
      </c>
      <c r="Q141" s="208">
        <f t="shared" si="49"/>
        <v>29.844299964121905</v>
      </c>
      <c r="R141" s="208">
        <f t="shared" si="61"/>
        <v>8.6499944483576261</v>
      </c>
      <c r="S141" s="155">
        <f t="shared" si="50"/>
        <v>29.589019821905662</v>
      </c>
      <c r="T141" s="155">
        <f t="shared" si="51"/>
        <v>7.606770641030745</v>
      </c>
      <c r="U141" s="208">
        <f t="shared" si="52"/>
        <v>29.589019821905662</v>
      </c>
      <c r="V141" s="208">
        <f t="shared" si="62"/>
        <v>8.5760047144519529</v>
      </c>
      <c r="W141" s="155">
        <f t="shared" si="53"/>
        <v>29.514380037121132</v>
      </c>
      <c r="X141" s="155">
        <f t="shared" si="54"/>
        <v>7.6058268368332582</v>
      </c>
      <c r="Y141" s="208">
        <f t="shared" si="55"/>
        <v>29.514380037121132</v>
      </c>
      <c r="Z141" s="208">
        <f t="shared" si="63"/>
        <v>8.5543713129384678</v>
      </c>
    </row>
    <row r="142" spans="1:26" s="108" customFormat="1">
      <c r="A142" s="150">
        <v>1.67</v>
      </c>
      <c r="B142" s="151">
        <f t="shared" si="64"/>
        <v>1.5639312349825409</v>
      </c>
      <c r="C142" s="152">
        <f t="shared" si="56"/>
        <v>31.074621848739504</v>
      </c>
      <c r="D142" s="152">
        <f t="shared" si="16"/>
        <v>31.374621848739505</v>
      </c>
      <c r="E142" s="153">
        <f t="shared" si="57"/>
        <v>30.515566560621533</v>
      </c>
      <c r="F142" s="154">
        <f t="shared" si="41"/>
        <v>8.95649299679053</v>
      </c>
      <c r="G142" s="155">
        <f t="shared" si="58"/>
        <v>30.013572413126315</v>
      </c>
      <c r="H142" s="155">
        <f t="shared" si="42"/>
        <v>13.150711188193903</v>
      </c>
      <c r="I142" s="206">
        <f t="shared" si="43"/>
        <v>30.013572413126315</v>
      </c>
      <c r="J142" s="206">
        <f t="shared" si="59"/>
        <v>8.8091548486509925</v>
      </c>
      <c r="K142" s="155">
        <f t="shared" si="44"/>
        <v>30.412827963403025</v>
      </c>
      <c r="L142" s="155">
        <f t="shared" si="45"/>
        <v>8.0497622793013299</v>
      </c>
      <c r="M142" s="208">
        <f t="shared" si="46"/>
        <v>30.412827963403025</v>
      </c>
      <c r="N142" s="208">
        <f t="shared" si="60"/>
        <v>8.9263386319793891</v>
      </c>
      <c r="O142" s="155">
        <f t="shared" si="47"/>
        <v>30.354811457268202</v>
      </c>
      <c r="P142" s="155">
        <f t="shared" si="48"/>
        <v>7.7327300651510233</v>
      </c>
      <c r="Q142" s="208">
        <f t="shared" si="49"/>
        <v>30.354811457268202</v>
      </c>
      <c r="R142" s="208">
        <f t="shared" si="61"/>
        <v>8.9093104562166179</v>
      </c>
      <c r="S142" s="155">
        <f t="shared" si="50"/>
        <v>30.090761696154988</v>
      </c>
      <c r="T142" s="155">
        <f t="shared" si="51"/>
        <v>7.6311783418301831</v>
      </c>
      <c r="U142" s="208">
        <f t="shared" si="52"/>
        <v>30.090761696154988</v>
      </c>
      <c r="V142" s="208">
        <f t="shared" si="62"/>
        <v>8.8318103438881597</v>
      </c>
      <c r="W142" s="155">
        <f t="shared" si="53"/>
        <v>30.013572413126315</v>
      </c>
      <c r="X142" s="155">
        <f t="shared" si="54"/>
        <v>7.6302285838203865</v>
      </c>
      <c r="Y142" s="208">
        <f t="shared" si="55"/>
        <v>30.013572413126315</v>
      </c>
      <c r="Z142" s="208">
        <f t="shared" si="63"/>
        <v>8.8091548486509925</v>
      </c>
    </row>
    <row r="143" spans="1:26" s="161" customFormat="1">
      <c r="A143" s="156">
        <v>1.68</v>
      </c>
      <c r="B143" s="151">
        <f t="shared" si="64"/>
        <v>1.5737351565511684</v>
      </c>
      <c r="C143" s="152">
        <f t="shared" si="56"/>
        <v>30.511092436974792</v>
      </c>
      <c r="D143" s="158">
        <f t="shared" si="16"/>
        <v>30.811092436974793</v>
      </c>
      <c r="E143" s="153">
        <f t="shared" si="57"/>
        <v>31.049506899503115</v>
      </c>
      <c r="F143" s="154">
        <f t="shared" si="41"/>
        <v>9.2278228218596858</v>
      </c>
      <c r="G143" s="155">
        <f t="shared" si="58"/>
        <v>30.52994151955091</v>
      </c>
      <c r="H143" s="155">
        <f t="shared" si="42"/>
        <v>13.205009830727839</v>
      </c>
      <c r="I143" s="206">
        <f t="shared" si="43"/>
        <v>30.52994151955091</v>
      </c>
      <c r="J143" s="206">
        <f t="shared" si="59"/>
        <v>9.073409507468277</v>
      </c>
      <c r="K143" s="160">
        <f t="shared" si="44"/>
        <v>30.943147815551129</v>
      </c>
      <c r="L143" s="155">
        <f t="shared" si="45"/>
        <v>8.0770890471125263</v>
      </c>
      <c r="M143" s="208">
        <f t="shared" si="46"/>
        <v>30.943147815551129</v>
      </c>
      <c r="N143" s="208">
        <f t="shared" si="60"/>
        <v>9.1962132125547473</v>
      </c>
      <c r="O143" s="155">
        <f t="shared" si="47"/>
        <v>30.883092355473948</v>
      </c>
      <c r="P143" s="155">
        <f t="shared" si="48"/>
        <v>7.7580694316668595</v>
      </c>
      <c r="Q143" s="208">
        <f t="shared" si="49"/>
        <v>30.883092355473948</v>
      </c>
      <c r="R143" s="208">
        <f t="shared" si="61"/>
        <v>9.178364905112339</v>
      </c>
      <c r="S143" s="155">
        <f t="shared" si="50"/>
        <v>30.609813193451771</v>
      </c>
      <c r="T143" s="155">
        <f t="shared" si="51"/>
        <v>7.6555860426296194</v>
      </c>
      <c r="U143" s="208">
        <f t="shared" si="52"/>
        <v>30.609813193451771</v>
      </c>
      <c r="V143" s="208">
        <f t="shared" si="62"/>
        <v>9.0971471358186431</v>
      </c>
      <c r="W143" s="155">
        <f t="shared" si="53"/>
        <v>30.52994151955091</v>
      </c>
      <c r="X143" s="155">
        <f t="shared" si="54"/>
        <v>7.6546303308075148</v>
      </c>
      <c r="Y143" s="208">
        <f t="shared" si="55"/>
        <v>30.52994151955091</v>
      </c>
      <c r="Z143" s="208">
        <f t="shared" si="63"/>
        <v>9.073409507468277</v>
      </c>
    </row>
    <row r="144" spans="1:26" s="161" customFormat="1">
      <c r="A144" s="156">
        <v>1.69</v>
      </c>
      <c r="B144" s="151">
        <f t="shared" si="64"/>
        <v>1.5835390781197956</v>
      </c>
      <c r="C144" s="152">
        <f t="shared" si="56"/>
        <v>29.947563025210091</v>
      </c>
      <c r="D144" s="158">
        <f t="shared" si="16"/>
        <v>30.247563025210091</v>
      </c>
      <c r="E144" s="153">
        <f t="shared" si="57"/>
        <v>31.602465038378355</v>
      </c>
      <c r="F144" s="154">
        <f t="shared" si="41"/>
        <v>9.5095458356968283</v>
      </c>
      <c r="G144" s="155">
        <f t="shared" si="58"/>
        <v>31.064389428314634</v>
      </c>
      <c r="H144" s="155">
        <f t="shared" si="42"/>
        <v>13.259308473261774</v>
      </c>
      <c r="I144" s="206">
        <f t="shared" si="43"/>
        <v>31.064389428314634</v>
      </c>
      <c r="J144" s="206">
        <f t="shared" si="59"/>
        <v>9.3476326852271558</v>
      </c>
      <c r="K144" s="160">
        <f t="shared" si="44"/>
        <v>31.492290662377933</v>
      </c>
      <c r="L144" s="155">
        <f t="shared" si="45"/>
        <v>8.1044158149237226</v>
      </c>
      <c r="M144" s="208">
        <f t="shared" si="46"/>
        <v>31.492290662377933</v>
      </c>
      <c r="N144" s="208">
        <f t="shared" si="60"/>
        <v>9.47639309659173</v>
      </c>
      <c r="O144" s="155">
        <f t="shared" si="47"/>
        <v>31.430086842030597</v>
      </c>
      <c r="P144" s="155">
        <f t="shared" si="48"/>
        <v>7.7834087981826956</v>
      </c>
      <c r="Q144" s="208">
        <f t="shared" si="49"/>
        <v>31.430086842030597</v>
      </c>
      <c r="R144" s="208">
        <f t="shared" si="61"/>
        <v>9.4576752503721391</v>
      </c>
      <c r="S144" s="155">
        <f t="shared" si="50"/>
        <v>31.147085784830313</v>
      </c>
      <c r="T144" s="155">
        <f t="shared" si="51"/>
        <v>7.6799937434290557</v>
      </c>
      <c r="U144" s="208">
        <f t="shared" si="52"/>
        <v>31.147085784830313</v>
      </c>
      <c r="V144" s="208">
        <f t="shared" si="62"/>
        <v>9.3725169716831651</v>
      </c>
      <c r="W144" s="155">
        <f t="shared" si="53"/>
        <v>31.064389428314634</v>
      </c>
      <c r="X144" s="155">
        <f t="shared" si="54"/>
        <v>7.6790320777946421</v>
      </c>
      <c r="Y144" s="208">
        <f t="shared" si="55"/>
        <v>31.064389428314634</v>
      </c>
      <c r="Z144" s="208">
        <f t="shared" si="63"/>
        <v>9.3476326852271558</v>
      </c>
    </row>
    <row r="145" spans="1:26" s="161" customFormat="1">
      <c r="A145" s="156">
        <v>1.7</v>
      </c>
      <c r="B145" s="151">
        <f t="shared" si="64"/>
        <v>1.5933429996884234</v>
      </c>
      <c r="C145" s="152">
        <f t="shared" si="56"/>
        <v>29.384033613445386</v>
      </c>
      <c r="D145" s="158">
        <f t="shared" si="16"/>
        <v>29.684033613445386</v>
      </c>
      <c r="E145" s="153">
        <f t="shared" si="57"/>
        <v>32.175475459611732</v>
      </c>
      <c r="F145" s="154">
        <f t="shared" si="41"/>
        <v>9.8022273807966176</v>
      </c>
      <c r="G145" s="155">
        <f t="shared" si="58"/>
        <v>31.617882502388078</v>
      </c>
      <c r="H145" s="155">
        <f t="shared" si="42"/>
        <v>13.313607115795714</v>
      </c>
      <c r="I145" s="206">
        <f t="shared" si="43"/>
        <v>31.617882502388078</v>
      </c>
      <c r="J145" s="206">
        <f t="shared" si="59"/>
        <v>9.6323572273781277</v>
      </c>
      <c r="K145" s="160">
        <f t="shared" si="44"/>
        <v>32.061276755695708</v>
      </c>
      <c r="L145" s="155">
        <f t="shared" si="45"/>
        <v>8.1317425827349208</v>
      </c>
      <c r="M145" s="208">
        <f t="shared" si="46"/>
        <v>32.061276755695708</v>
      </c>
      <c r="N145" s="208">
        <f t="shared" si="60"/>
        <v>9.7674368564488958</v>
      </c>
      <c r="O145" s="155">
        <f t="shared" si="47"/>
        <v>31.996807199041402</v>
      </c>
      <c r="P145" s="155">
        <f t="shared" si="48"/>
        <v>7.8087481646985344</v>
      </c>
      <c r="Q145" s="208">
        <f t="shared" si="49"/>
        <v>31.996807199041402</v>
      </c>
      <c r="R145" s="208">
        <f t="shared" si="61"/>
        <v>9.7477962685651853</v>
      </c>
      <c r="S145" s="155">
        <f t="shared" si="50"/>
        <v>31.70355607827641</v>
      </c>
      <c r="T145" s="155">
        <f t="shared" si="51"/>
        <v>7.7044014442284938</v>
      </c>
      <c r="U145" s="208">
        <f t="shared" si="52"/>
        <v>31.70355607827641</v>
      </c>
      <c r="V145" s="208">
        <f t="shared" si="62"/>
        <v>9.6584575991484716</v>
      </c>
      <c r="W145" s="155">
        <f t="shared" si="53"/>
        <v>31.617882502388078</v>
      </c>
      <c r="X145" s="155">
        <f t="shared" si="54"/>
        <v>7.7034338247817713</v>
      </c>
      <c r="Y145" s="208">
        <f t="shared" si="55"/>
        <v>31.617882502388078</v>
      </c>
      <c r="Z145" s="208">
        <f t="shared" si="63"/>
        <v>9.6323572273781277</v>
      </c>
    </row>
    <row r="146" spans="1:26" s="161" customFormat="1">
      <c r="A146" s="156">
        <v>1.71</v>
      </c>
      <c r="B146" s="151">
        <f t="shared" si="64"/>
        <v>1.6031469212570506</v>
      </c>
      <c r="C146" s="152">
        <f t="shared" si="56"/>
        <v>28.820504201680681</v>
      </c>
      <c r="D146" s="158">
        <f t="shared" si="16"/>
        <v>29.120504201680681</v>
      </c>
      <c r="E146" s="153">
        <f t="shared" si="57"/>
        <v>32.769649059308499</v>
      </c>
      <c r="F146" s="154">
        <f t="shared" si="41"/>
        <v>10.106474559606609</v>
      </c>
      <c r="G146" s="155">
        <f t="shared" si="58"/>
        <v>32.191457227258695</v>
      </c>
      <c r="H146" s="155">
        <f t="shared" si="42"/>
        <v>13.367905758329648</v>
      </c>
      <c r="I146" s="206">
        <f t="shared" si="43"/>
        <v>32.191457227258695</v>
      </c>
      <c r="J146" s="206">
        <f t="shared" si="59"/>
        <v>9.9281546444128921</v>
      </c>
      <c r="K146" s="160">
        <f t="shared" si="44"/>
        <v>32.651201437492347</v>
      </c>
      <c r="L146" s="155">
        <f t="shared" si="45"/>
        <v>8.1590693505461171</v>
      </c>
      <c r="M146" s="208">
        <f t="shared" si="46"/>
        <v>32.651201437492347</v>
      </c>
      <c r="N146" s="208">
        <f t="shared" si="60"/>
        <v>10.069944175214506</v>
      </c>
      <c r="O146" s="155">
        <f t="shared" si="47"/>
        <v>32.584340059652959</v>
      </c>
      <c r="P146" s="155">
        <f t="shared" si="48"/>
        <v>7.8340875312143714</v>
      </c>
      <c r="Q146" s="208">
        <f t="shared" si="49"/>
        <v>32.584340059652959</v>
      </c>
      <c r="R146" s="208">
        <f t="shared" si="61"/>
        <v>10.049323484009328</v>
      </c>
      <c r="S146" s="155">
        <f t="shared" si="50"/>
        <v>32.280271743220524</v>
      </c>
      <c r="T146" s="155">
        <f t="shared" si="51"/>
        <v>7.728809145027931</v>
      </c>
      <c r="U146" s="208">
        <f t="shared" si="52"/>
        <v>32.280271743220524</v>
      </c>
      <c r="V146" s="208">
        <f t="shared" si="62"/>
        <v>9.9555458942998687</v>
      </c>
      <c r="W146" s="155">
        <f t="shared" si="53"/>
        <v>32.191457227258695</v>
      </c>
      <c r="X146" s="155">
        <f t="shared" si="54"/>
        <v>7.7278355717688987</v>
      </c>
      <c r="Y146" s="208">
        <f t="shared" si="55"/>
        <v>32.191457227258695</v>
      </c>
      <c r="Z146" s="208">
        <f t="shared" si="63"/>
        <v>9.9281546444128921</v>
      </c>
    </row>
    <row r="147" spans="1:26" s="161" customFormat="1">
      <c r="A147" s="156">
        <v>1.72</v>
      </c>
      <c r="B147" s="151">
        <f t="shared" si="64"/>
        <v>1.612950842825678</v>
      </c>
      <c r="C147" s="152">
        <f t="shared" si="56"/>
        <v>28.256974789915972</v>
      </c>
      <c r="D147" s="158">
        <f t="shared" si="16"/>
        <v>28.556974789915973</v>
      </c>
      <c r="E147" s="153">
        <f t="shared" si="57"/>
        <v>33.386180335591405</v>
      </c>
      <c r="F147" s="154">
        <f t="shared" si="41"/>
        <v>10.422940162905803</v>
      </c>
      <c r="G147" s="155">
        <f t="shared" si="58"/>
        <v>32.786226688850014</v>
      </c>
      <c r="H147" s="155">
        <f t="shared" si="42"/>
        <v>13.422204400863585</v>
      </c>
      <c r="I147" s="206">
        <f t="shared" si="43"/>
        <v>32.786226688850014</v>
      </c>
      <c r="J147" s="206">
        <f t="shared" si="59"/>
        <v>10.235638683741493</v>
      </c>
      <c r="K147" s="160">
        <f t="shared" si="44"/>
        <v>33.263242177688753</v>
      </c>
      <c r="L147" s="155">
        <f t="shared" si="45"/>
        <v>8.1863961183573135</v>
      </c>
      <c r="M147" s="208">
        <f t="shared" si="46"/>
        <v>33.263242177688753</v>
      </c>
      <c r="N147" s="208">
        <f t="shared" si="60"/>
        <v>10.384559699771744</v>
      </c>
      <c r="O147" s="155">
        <f t="shared" si="47"/>
        <v>33.193853362001512</v>
      </c>
      <c r="P147" s="155">
        <f t="shared" si="48"/>
        <v>7.8594268977302075</v>
      </c>
      <c r="Q147" s="208">
        <f t="shared" si="49"/>
        <v>33.193853362001512</v>
      </c>
      <c r="R147" s="208">
        <f t="shared" si="61"/>
        <v>10.362896979849515</v>
      </c>
      <c r="S147" s="155">
        <f t="shared" si="50"/>
        <v>32.878358093642213</v>
      </c>
      <c r="T147" s="155">
        <f t="shared" si="51"/>
        <v>7.7532168458273683</v>
      </c>
      <c r="U147" s="208">
        <f t="shared" si="52"/>
        <v>32.878358093642213</v>
      </c>
      <c r="V147" s="208">
        <f t="shared" si="62"/>
        <v>10.264401486482658</v>
      </c>
      <c r="W147" s="155">
        <f t="shared" si="53"/>
        <v>32.786226688850014</v>
      </c>
      <c r="X147" s="155">
        <f t="shared" si="54"/>
        <v>7.7522373187560261</v>
      </c>
      <c r="Y147" s="208">
        <f t="shared" si="55"/>
        <v>32.786226688850014</v>
      </c>
      <c r="Z147" s="208">
        <f t="shared" si="63"/>
        <v>10.235638683741493</v>
      </c>
    </row>
    <row r="148" spans="1:26" s="161" customFormat="1">
      <c r="A148" s="156">
        <v>1.73</v>
      </c>
      <c r="B148" s="151">
        <f t="shared" si="64"/>
        <v>1.6227547643943057</v>
      </c>
      <c r="C148" s="152">
        <f t="shared" si="56"/>
        <v>27.693445378151267</v>
      </c>
      <c r="D148" s="158">
        <f t="shared" si="16"/>
        <v>27.993445378151268</v>
      </c>
      <c r="E148" s="153">
        <f t="shared" si="57"/>
        <v>34.026355403882292</v>
      </c>
      <c r="F148" s="154">
        <f t="shared" si="41"/>
        <v>10.752327050139634</v>
      </c>
      <c r="G148" s="155">
        <f t="shared" si="58"/>
        <v>33.403387783074791</v>
      </c>
      <c r="H148" s="155">
        <f t="shared" si="42"/>
        <v>13.476503043397523</v>
      </c>
      <c r="I148" s="206">
        <f t="shared" si="43"/>
        <v>33.403387783074791</v>
      </c>
      <c r="J148" s="206">
        <f t="shared" si="59"/>
        <v>10.555469304987025</v>
      </c>
      <c r="K148" s="160">
        <f t="shared" si="44"/>
        <v>33.898666418545439</v>
      </c>
      <c r="L148" s="155">
        <f t="shared" si="45"/>
        <v>8.2137228861685116</v>
      </c>
      <c r="M148" s="208">
        <f t="shared" si="46"/>
        <v>33.898666418545439</v>
      </c>
      <c r="N148" s="208">
        <f t="shared" si="60"/>
        <v>10.711977335492099</v>
      </c>
      <c r="O148" s="155">
        <f t="shared" si="47"/>
        <v>33.82660409850785</v>
      </c>
      <c r="P148" s="155">
        <f t="shared" si="48"/>
        <v>7.8847662642460454</v>
      </c>
      <c r="Q148" s="208">
        <f t="shared" si="49"/>
        <v>33.82660409850785</v>
      </c>
      <c r="R148" s="208">
        <f t="shared" si="61"/>
        <v>10.689205645023375</v>
      </c>
      <c r="S148" s="155">
        <f t="shared" si="50"/>
        <v>33.499025416817254</v>
      </c>
      <c r="T148" s="155">
        <f t="shared" si="51"/>
        <v>7.7776245466268064</v>
      </c>
      <c r="U148" s="208">
        <f t="shared" si="52"/>
        <v>33.499025416817254</v>
      </c>
      <c r="V148" s="208">
        <f t="shared" si="62"/>
        <v>10.585690793715232</v>
      </c>
      <c r="W148" s="155">
        <f t="shared" si="53"/>
        <v>33.403387783074791</v>
      </c>
      <c r="X148" s="155">
        <f t="shared" si="54"/>
        <v>7.7766390657431552</v>
      </c>
      <c r="Y148" s="208">
        <f t="shared" si="55"/>
        <v>33.403387783074791</v>
      </c>
      <c r="Z148" s="208">
        <f t="shared" si="63"/>
        <v>10.555469304987025</v>
      </c>
    </row>
    <row r="149" spans="1:26" s="161" customFormat="1">
      <c r="A149" s="156">
        <v>1.74</v>
      </c>
      <c r="B149" s="151">
        <f t="shared" si="64"/>
        <v>1.6325586859629331</v>
      </c>
      <c r="C149" s="152">
        <f t="shared" si="56"/>
        <v>27.129915966386562</v>
      </c>
      <c r="D149" s="158">
        <f t="shared" si="16"/>
        <v>27.429915966386563</v>
      </c>
      <c r="E149" s="153">
        <f t="shared" si="57"/>
        <v>34.691560952362494</v>
      </c>
      <c r="F149" s="154">
        <f t="shared" si="41"/>
        <v>11.0953930435607</v>
      </c>
      <c r="G149" s="155">
        <f t="shared" si="58"/>
        <v>34.044229255276633</v>
      </c>
      <c r="H149" s="155">
        <f t="shared" si="42"/>
        <v>13.530801685931459</v>
      </c>
      <c r="I149" s="206">
        <f t="shared" si="43"/>
        <v>34.044229255276633</v>
      </c>
      <c r="J149" s="206">
        <f t="shared" si="59"/>
        <v>10.88835711287469</v>
      </c>
      <c r="K149" s="160">
        <f t="shared" si="44"/>
        <v>34.558840335684494</v>
      </c>
      <c r="L149" s="155">
        <f t="shared" si="45"/>
        <v>8.241049653979708</v>
      </c>
      <c r="M149" s="208">
        <f t="shared" si="46"/>
        <v>34.558840335684494</v>
      </c>
      <c r="N149" s="208">
        <f t="shared" si="60"/>
        <v>11.052945042761651</v>
      </c>
      <c r="O149" s="155">
        <f t="shared" si="47"/>
        <v>34.483946968711514</v>
      </c>
      <c r="P149" s="155">
        <f t="shared" si="48"/>
        <v>7.9101056307618824</v>
      </c>
      <c r="Q149" s="208">
        <f t="shared" si="49"/>
        <v>34.483946968711514</v>
      </c>
      <c r="R149" s="208">
        <f t="shared" si="61"/>
        <v>11.028991916407321</v>
      </c>
      <c r="S149" s="155">
        <f t="shared" si="50"/>
        <v>34.143577148135357</v>
      </c>
      <c r="T149" s="155">
        <f t="shared" si="51"/>
        <v>7.8020322474262427</v>
      </c>
      <c r="U149" s="208">
        <f t="shared" si="52"/>
        <v>34.143577148135357</v>
      </c>
      <c r="V149" s="208">
        <f t="shared" si="62"/>
        <v>10.92013152397227</v>
      </c>
      <c r="W149" s="155">
        <f t="shared" si="53"/>
        <v>34.044229255276633</v>
      </c>
      <c r="X149" s="155">
        <f t="shared" si="54"/>
        <v>7.8010408127302826</v>
      </c>
      <c r="Y149" s="208">
        <f t="shared" si="55"/>
        <v>34.044229255276633</v>
      </c>
      <c r="Z149" s="208">
        <f t="shared" si="63"/>
        <v>10.88835711287469</v>
      </c>
    </row>
    <row r="150" spans="1:26" s="161" customFormat="1">
      <c r="A150" s="156">
        <v>1.75</v>
      </c>
      <c r="B150" s="151">
        <f t="shared" si="64"/>
        <v>1.6423626075315605</v>
      </c>
      <c r="C150" s="152">
        <f t="shared" si="56"/>
        <v>26.566386554621854</v>
      </c>
      <c r="D150" s="158">
        <f t="shared" si="16"/>
        <v>26.866386554621855</v>
      </c>
      <c r="E150" s="153">
        <f t="shared" si="57"/>
        <v>35.383294268839116</v>
      </c>
      <c r="F150" s="154">
        <f t="shared" si="41"/>
        <v>11.452956407890714</v>
      </c>
      <c r="G150" s="155">
        <f t="shared" si="58"/>
        <v>34.710140683189309</v>
      </c>
      <c r="H150" s="155">
        <f t="shared" si="42"/>
        <v>13.585100328465396</v>
      </c>
      <c r="I150" s="206">
        <f t="shared" si="43"/>
        <v>34.710140683189309</v>
      </c>
      <c r="J150" s="206">
        <f t="shared" si="59"/>
        <v>11.235068310369726</v>
      </c>
      <c r="K150" s="160">
        <f t="shared" si="44"/>
        <v>35.245238643165699</v>
      </c>
      <c r="L150" s="155">
        <f t="shared" si="45"/>
        <v>8.2683764217909044</v>
      </c>
      <c r="M150" s="208">
        <f t="shared" si="46"/>
        <v>35.245238643165699</v>
      </c>
      <c r="N150" s="208">
        <f t="shared" si="60"/>
        <v>11.408270205111279</v>
      </c>
      <c r="O150" s="155">
        <f t="shared" si="47"/>
        <v>35.167344060987446</v>
      </c>
      <c r="P150" s="155">
        <f t="shared" si="48"/>
        <v>7.9354449972777195</v>
      </c>
      <c r="Q150" s="208">
        <f t="shared" si="49"/>
        <v>35.167344060987446</v>
      </c>
      <c r="R150" s="208">
        <f t="shared" si="61"/>
        <v>11.383057084837057</v>
      </c>
      <c r="S150" s="155">
        <f t="shared" si="50"/>
        <v>34.813419008178222</v>
      </c>
      <c r="T150" s="155">
        <f t="shared" si="51"/>
        <v>7.826439948225679</v>
      </c>
      <c r="U150" s="208">
        <f t="shared" si="52"/>
        <v>34.813419008178222</v>
      </c>
      <c r="V150" s="208">
        <f t="shared" si="62"/>
        <v>11.268497706315477</v>
      </c>
      <c r="W150" s="155">
        <f t="shared" si="53"/>
        <v>34.710140683189309</v>
      </c>
      <c r="X150" s="155">
        <f t="shared" si="54"/>
        <v>7.8254425597174118</v>
      </c>
      <c r="Y150" s="208">
        <f t="shared" si="55"/>
        <v>34.710140683189309</v>
      </c>
      <c r="Z150" s="208">
        <f t="shared" si="63"/>
        <v>11.235068310369726</v>
      </c>
    </row>
    <row r="151" spans="1:26" s="161" customFormat="1">
      <c r="A151" s="156">
        <v>1.76</v>
      </c>
      <c r="B151" s="151">
        <f t="shared" si="64"/>
        <v>1.6521665291001881</v>
      </c>
      <c r="C151" s="152">
        <f t="shared" si="56"/>
        <v>26.002857142857145</v>
      </c>
      <c r="D151" s="158">
        <f t="shared" si="16"/>
        <v>26.302857142857146</v>
      </c>
      <c r="E151" s="153">
        <f t="shared" si="57"/>
        <v>36.103174491602921</v>
      </c>
      <c r="F151" s="154">
        <f t="shared" si="41"/>
        <v>11.825901998891272</v>
      </c>
      <c r="G151" s="155">
        <f t="shared" si="58"/>
        <v>35.402622535178971</v>
      </c>
      <c r="H151" s="155">
        <f t="shared" si="42"/>
        <v>13.639398970999332</v>
      </c>
      <c r="I151" s="206">
        <f t="shared" si="43"/>
        <v>35.402622535178971</v>
      </c>
      <c r="J151" s="206">
        <f t="shared" si="59"/>
        <v>11.596430244718295</v>
      </c>
      <c r="K151" s="160">
        <f t="shared" si="44"/>
        <v>35.959455590715478</v>
      </c>
      <c r="L151" s="155">
        <f t="shared" si="45"/>
        <v>8.2957031896021025</v>
      </c>
      <c r="M151" s="208">
        <f t="shared" si="46"/>
        <v>35.959455590715478</v>
      </c>
      <c r="N151" s="208">
        <f t="shared" si="60"/>
        <v>11.778825650032294</v>
      </c>
      <c r="O151" s="155">
        <f t="shared" si="47"/>
        <v>35.87837570876254</v>
      </c>
      <c r="P151" s="155">
        <f t="shared" si="48"/>
        <v>7.9607843637935574</v>
      </c>
      <c r="Q151" s="208">
        <f t="shared" si="49"/>
        <v>35.87837570876254</v>
      </c>
      <c r="R151" s="208">
        <f t="shared" si="61"/>
        <v>11.752267244807287</v>
      </c>
      <c r="S151" s="155">
        <f t="shared" si="50"/>
        <v>35.510069236848246</v>
      </c>
      <c r="T151" s="155">
        <f t="shared" si="51"/>
        <v>7.8508476490251171</v>
      </c>
      <c r="U151" s="208">
        <f t="shared" si="52"/>
        <v>35.510069236848246</v>
      </c>
      <c r="V151" s="208">
        <f t="shared" si="62"/>
        <v>11.631625326090999</v>
      </c>
      <c r="W151" s="155">
        <f t="shared" si="53"/>
        <v>35.402622535178971</v>
      </c>
      <c r="X151" s="155">
        <f t="shared" si="54"/>
        <v>7.84984430670454</v>
      </c>
      <c r="Y151" s="208">
        <f t="shared" si="55"/>
        <v>35.402622535178971</v>
      </c>
      <c r="Z151" s="208">
        <f t="shared" si="63"/>
        <v>11.596430244718295</v>
      </c>
    </row>
    <row r="152" spans="1:26" s="161" customFormat="1">
      <c r="A152" s="156">
        <v>1.77</v>
      </c>
      <c r="B152" s="151">
        <f t="shared" si="64"/>
        <v>1.6619704506688153</v>
      </c>
      <c r="C152" s="152">
        <f t="shared" si="56"/>
        <v>25.43932773109244</v>
      </c>
      <c r="D152" s="158">
        <f t="shared" si="16"/>
        <v>25.739327731092441</v>
      </c>
      <c r="E152" s="153">
        <f t="shared" si="57"/>
        <v>36.852955262214522</v>
      </c>
      <c r="F152" s="154">
        <f t="shared" si="41"/>
        <v>12.215188178085626</v>
      </c>
      <c r="G152" s="155">
        <f t="shared" si="58"/>
        <v>36.123297456992418</v>
      </c>
      <c r="H152" s="155">
        <f t="shared" si="42"/>
        <v>13.693697613533269</v>
      </c>
      <c r="I152" s="206">
        <f t="shared" si="43"/>
        <v>36.123297456992418</v>
      </c>
      <c r="J152" s="206">
        <f t="shared" si="59"/>
        <v>11.973337630877669</v>
      </c>
      <c r="K152" s="160">
        <f t="shared" si="44"/>
        <v>36.703217325712536</v>
      </c>
      <c r="L152" s="155">
        <f t="shared" si="45"/>
        <v>8.3230299574132989</v>
      </c>
      <c r="M152" s="208">
        <f t="shared" si="46"/>
        <v>36.703217325712536</v>
      </c>
      <c r="N152" s="208">
        <f t="shared" si="60"/>
        <v>12.165556416975674</v>
      </c>
      <c r="O152" s="155">
        <f t="shared" si="47"/>
        <v>36.61875269088884</v>
      </c>
      <c r="P152" s="155">
        <f t="shared" si="48"/>
        <v>7.9861237303093935</v>
      </c>
      <c r="Q152" s="208">
        <f t="shared" si="49"/>
        <v>36.61875269088884</v>
      </c>
      <c r="R152" s="208">
        <f t="shared" si="61"/>
        <v>12.13755998083036</v>
      </c>
      <c r="S152" s="155">
        <f t="shared" si="50"/>
        <v>36.235170081357218</v>
      </c>
      <c r="T152" s="155">
        <f t="shared" si="51"/>
        <v>7.8752553498245534</v>
      </c>
      <c r="U152" s="208">
        <f t="shared" si="52"/>
        <v>36.235170081357218</v>
      </c>
      <c r="V152" s="208">
        <f t="shared" si="62"/>
        <v>12.010418650537265</v>
      </c>
      <c r="W152" s="155">
        <f t="shared" si="53"/>
        <v>36.123297456992418</v>
      </c>
      <c r="X152" s="155">
        <f t="shared" si="54"/>
        <v>7.8742460536916674</v>
      </c>
      <c r="Y152" s="208">
        <f t="shared" si="55"/>
        <v>36.123297456992418</v>
      </c>
      <c r="Z152" s="208">
        <f t="shared" si="63"/>
        <v>11.973337630877669</v>
      </c>
    </row>
    <row r="153" spans="1:26" s="161" customFormat="1">
      <c r="A153" s="156">
        <v>1.78</v>
      </c>
      <c r="B153" s="151">
        <f t="shared" si="64"/>
        <v>1.6717743722374427</v>
      </c>
      <c r="C153" s="152">
        <f t="shared" si="56"/>
        <v>24.875798319327735</v>
      </c>
      <c r="D153" s="158">
        <f t="shared" si="16"/>
        <v>25.175798319327736</v>
      </c>
      <c r="E153" s="153">
        <f t="shared" si="57"/>
        <v>37.634538988345213</v>
      </c>
      <c r="F153" s="154">
        <f t="shared" si="41"/>
        <v>12.621854607372008</v>
      </c>
      <c r="G153" s="155">
        <f t="shared" si="58"/>
        <v>36.873922965706043</v>
      </c>
      <c r="H153" s="155">
        <f t="shared" si="42"/>
        <v>13.747996256067205</v>
      </c>
      <c r="I153" s="206">
        <f t="shared" si="43"/>
        <v>36.873922965706043</v>
      </c>
      <c r="J153" s="206">
        <f t="shared" si="59"/>
        <v>12.36675955086654</v>
      </c>
      <c r="K153" s="160">
        <f t="shared" si="44"/>
        <v>37.478395821697596</v>
      </c>
      <c r="L153" s="155">
        <f t="shared" si="45"/>
        <v>8.3503567252244952</v>
      </c>
      <c r="M153" s="208">
        <f t="shared" si="46"/>
        <v>37.478395821697596</v>
      </c>
      <c r="N153" s="208">
        <f t="shared" si="60"/>
        <v>12.569487382999439</v>
      </c>
      <c r="O153" s="155">
        <f t="shared" si="47"/>
        <v>37.390329974428255</v>
      </c>
      <c r="P153" s="155">
        <f t="shared" si="48"/>
        <v>8.0114630968252314</v>
      </c>
      <c r="Q153" s="208">
        <f t="shared" si="49"/>
        <v>37.390329974428255</v>
      </c>
      <c r="R153" s="208">
        <f t="shared" si="61"/>
        <v>12.539951899106494</v>
      </c>
      <c r="S153" s="155">
        <f t="shared" si="50"/>
        <v>36.990500721033882</v>
      </c>
      <c r="T153" s="155">
        <f t="shared" si="51"/>
        <v>7.8996630506239907</v>
      </c>
      <c r="U153" s="208">
        <f t="shared" si="52"/>
        <v>36.990500721033882</v>
      </c>
      <c r="V153" s="208">
        <f t="shared" si="62"/>
        <v>12.405857345545449</v>
      </c>
      <c r="W153" s="155">
        <f t="shared" si="53"/>
        <v>36.873922965706043</v>
      </c>
      <c r="X153" s="155">
        <f t="shared" si="54"/>
        <v>7.8986478006787957</v>
      </c>
      <c r="Y153" s="208">
        <f t="shared" si="55"/>
        <v>36.873922965706043</v>
      </c>
      <c r="Z153" s="208">
        <f t="shared" si="63"/>
        <v>12.36675955086654</v>
      </c>
    </row>
    <row r="154" spans="1:26" s="161" customFormat="1">
      <c r="A154" s="156">
        <v>1.79</v>
      </c>
      <c r="B154" s="151">
        <f t="shared" si="64"/>
        <v>1.6815782938060704</v>
      </c>
      <c r="C154" s="152">
        <f t="shared" si="56"/>
        <v>24.312268907563027</v>
      </c>
      <c r="D154" s="158">
        <f t="shared" si="16"/>
        <v>24.612268907563028</v>
      </c>
      <c r="E154" s="153">
        <f t="shared" si="57"/>
        <v>38.449992960875683</v>
      </c>
      <c r="F154" s="154">
        <f t="shared" si="41"/>
        <v>13.047031056985062</v>
      </c>
      <c r="G154" s="155">
        <f t="shared" si="58"/>
        <v>37.656405759905802</v>
      </c>
      <c r="H154" s="155">
        <f t="shared" si="42"/>
        <v>13.802294898601142</v>
      </c>
      <c r="I154" s="206">
        <f t="shared" si="43"/>
        <v>37.656405759905802</v>
      </c>
      <c r="J154" s="206">
        <f t="shared" si="59"/>
        <v>12.777747344293219</v>
      </c>
      <c r="K154" s="160">
        <f t="shared" si="44"/>
        <v>38.287024610000898</v>
      </c>
      <c r="L154" s="155">
        <f t="shared" si="45"/>
        <v>8.3776834930356934</v>
      </c>
      <c r="M154" s="208">
        <f t="shared" si="46"/>
        <v>38.287024610000898</v>
      </c>
      <c r="N154" s="208">
        <f t="shared" si="60"/>
        <v>12.99173187559555</v>
      </c>
      <c r="O154" s="155">
        <f t="shared" si="47"/>
        <v>38.195122232241609</v>
      </c>
      <c r="P154" s="155">
        <f t="shared" si="48"/>
        <v>8.0368024633410684</v>
      </c>
      <c r="Q154" s="208">
        <f t="shared" si="49"/>
        <v>38.195122232241609</v>
      </c>
      <c r="R154" s="208">
        <f t="shared" si="61"/>
        <v>12.960547131867346</v>
      </c>
      <c r="S154" s="155">
        <f t="shared" si="50"/>
        <v>37.777991843069685</v>
      </c>
      <c r="T154" s="155">
        <f t="shared" si="51"/>
        <v>7.9240707514234279</v>
      </c>
      <c r="U154" s="208">
        <f t="shared" si="52"/>
        <v>37.777991843069685</v>
      </c>
      <c r="V154" s="208">
        <f t="shared" si="62"/>
        <v>12.819004501472687</v>
      </c>
      <c r="W154" s="155">
        <f t="shared" si="53"/>
        <v>37.656405759905802</v>
      </c>
      <c r="X154" s="155">
        <f t="shared" si="54"/>
        <v>7.923049547665924</v>
      </c>
      <c r="Y154" s="208">
        <f t="shared" si="55"/>
        <v>37.656405759905802</v>
      </c>
      <c r="Z154" s="208">
        <f t="shared" si="63"/>
        <v>12.777747344293219</v>
      </c>
    </row>
    <row r="155" spans="1:26" s="161" customFormat="1">
      <c r="A155" s="156">
        <v>1.8</v>
      </c>
      <c r="B155" s="151">
        <f t="shared" si="64"/>
        <v>1.6913822153746978</v>
      </c>
      <c r="C155" s="152">
        <f t="shared" si="56"/>
        <v>23.748739495798322</v>
      </c>
      <c r="D155" s="158">
        <f t="shared" si="16"/>
        <v>24.048739495798323</v>
      </c>
      <c r="E155" s="153">
        <f t="shared" si="57"/>
        <v>39.301567612723964</v>
      </c>
      <c r="F155" s="154">
        <f t="shared" si="41"/>
        <v>13.491947383907958</v>
      </c>
      <c r="G155" s="155">
        <f t="shared" si="58"/>
        <v>38.472817891383819</v>
      </c>
      <c r="H155" s="155">
        <f t="shared" si="42"/>
        <v>13.856593541135078</v>
      </c>
      <c r="I155" s="206">
        <f t="shared" si="43"/>
        <v>38.472817891383819</v>
      </c>
      <c r="J155" s="206">
        <f t="shared" si="59"/>
        <v>13.207443525310479</v>
      </c>
      <c r="K155" s="160">
        <f t="shared" si="44"/>
        <v>39.13131659281958</v>
      </c>
      <c r="L155" s="155">
        <f t="shared" si="45"/>
        <v>8.4050102608468897</v>
      </c>
      <c r="M155" s="208">
        <f t="shared" si="46"/>
        <v>39.13131659281958</v>
      </c>
      <c r="N155" s="208">
        <f t="shared" si="60"/>
        <v>13.433501425079001</v>
      </c>
      <c r="O155" s="155">
        <f t="shared" si="47"/>
        <v>39.03532140867145</v>
      </c>
      <c r="P155" s="155">
        <f t="shared" si="48"/>
        <v>8.0621418298569054</v>
      </c>
      <c r="Q155" s="208">
        <f t="shared" si="49"/>
        <v>39.03532140867145</v>
      </c>
      <c r="R155" s="208">
        <f t="shared" si="61"/>
        <v>13.400546964167987</v>
      </c>
      <c r="S155" s="155">
        <f t="shared" si="50"/>
        <v>38.599742120582007</v>
      </c>
      <c r="T155" s="155">
        <f t="shared" si="51"/>
        <v>7.9484784522228651</v>
      </c>
      <c r="U155" s="208">
        <f t="shared" si="52"/>
        <v>38.599742120582007</v>
      </c>
      <c r="V155" s="208">
        <f t="shared" si="62"/>
        <v>13.251015706424461</v>
      </c>
      <c r="W155" s="155">
        <f t="shared" si="53"/>
        <v>38.472817891383819</v>
      </c>
      <c r="X155" s="155">
        <f t="shared" si="54"/>
        <v>7.9474512946530522</v>
      </c>
      <c r="Y155" s="208">
        <f t="shared" si="55"/>
        <v>38.472817891383819</v>
      </c>
      <c r="Z155" s="208">
        <f t="shared" si="63"/>
        <v>13.207443525310479</v>
      </c>
    </row>
    <row r="156" spans="1:26" s="108" customFormat="1">
      <c r="A156" s="150">
        <v>1.81</v>
      </c>
      <c r="B156" s="151">
        <f t="shared" si="64"/>
        <v>1.7011861369433252</v>
      </c>
      <c r="C156" s="152">
        <f t="shared" si="56"/>
        <v>23.185210084033617</v>
      </c>
      <c r="D156" s="152">
        <f t="shared" si="16"/>
        <v>23.485210084033618</v>
      </c>
      <c r="E156" s="153">
        <f t="shared" si="57"/>
        <v>40.191717258962171</v>
      </c>
      <c r="F156" s="154">
        <f t="shared" si="41"/>
        <v>13.957944866303743</v>
      </c>
      <c r="G156" s="155">
        <f t="shared" si="58"/>
        <v>39.325415087123631</v>
      </c>
      <c r="H156" s="155">
        <f t="shared" si="42"/>
        <v>13.910892183669015</v>
      </c>
      <c r="I156" s="206">
        <f t="shared" si="43"/>
        <v>39.325415087123631</v>
      </c>
      <c r="J156" s="206">
        <f t="shared" si="59"/>
        <v>13.657091885223785</v>
      </c>
      <c r="K156" s="155">
        <f t="shared" si="44"/>
        <v>40.013684266285601</v>
      </c>
      <c r="L156" s="155">
        <f t="shared" si="45"/>
        <v>8.4323370286580861</v>
      </c>
      <c r="M156" s="208">
        <f t="shared" si="46"/>
        <v>40.013684266285601</v>
      </c>
      <c r="N156" s="208">
        <f t="shared" si="60"/>
        <v>13.896116836410133</v>
      </c>
      <c r="O156" s="155">
        <f t="shared" si="47"/>
        <v>39.913316655783518</v>
      </c>
      <c r="P156" s="155">
        <f t="shared" si="48"/>
        <v>8.0874811963727424</v>
      </c>
      <c r="Q156" s="208">
        <f t="shared" si="49"/>
        <v>39.913316655783518</v>
      </c>
      <c r="R156" s="208">
        <f t="shared" si="61"/>
        <v>13.86126075985276</v>
      </c>
      <c r="S156" s="155">
        <f t="shared" si="50"/>
        <v>39.458036889091538</v>
      </c>
      <c r="T156" s="155">
        <f t="shared" si="51"/>
        <v>7.9728861530223023</v>
      </c>
      <c r="U156" s="208">
        <f t="shared" si="52"/>
        <v>39.458036889091538</v>
      </c>
      <c r="V156" s="208">
        <f t="shared" si="62"/>
        <v>13.703149330045333</v>
      </c>
      <c r="W156" s="155">
        <f t="shared" si="53"/>
        <v>39.325415087123631</v>
      </c>
      <c r="X156" s="155">
        <f t="shared" si="54"/>
        <v>7.9718530416401805</v>
      </c>
      <c r="Y156" s="208">
        <f t="shared" si="55"/>
        <v>39.325415087123631</v>
      </c>
      <c r="Z156" s="208">
        <f t="shared" si="63"/>
        <v>13.657091885223785</v>
      </c>
    </row>
    <row r="157" spans="1:26" s="108" customFormat="1">
      <c r="A157" s="150">
        <v>1.82</v>
      </c>
      <c r="B157" s="151">
        <f t="shared" si="64"/>
        <v>1.7109900585119528</v>
      </c>
      <c r="C157" s="152">
        <f t="shared" si="56"/>
        <v>22.621680672268909</v>
      </c>
      <c r="D157" s="152">
        <f t="shared" si="16"/>
        <v>22.921680672268909</v>
      </c>
      <c r="E157" s="153">
        <f t="shared" si="57"/>
        <v>41.123123720733169</v>
      </c>
      <c r="F157" s="154">
        <f t="shared" si="41"/>
        <v>14.446489113937428</v>
      </c>
      <c r="G157" s="155">
        <f t="shared" si="58"/>
        <v>40.216657562701883</v>
      </c>
      <c r="H157" s="155">
        <f t="shared" si="42"/>
        <v>13.965190826202955</v>
      </c>
      <c r="I157" s="206">
        <f t="shared" si="43"/>
        <v>40.216657562701883</v>
      </c>
      <c r="J157" s="206">
        <f t="shared" si="59"/>
        <v>14.128048968848223</v>
      </c>
      <c r="K157" s="155">
        <f t="shared" si="44"/>
        <v>40.936762742697844</v>
      </c>
      <c r="L157" s="155">
        <f t="shared" si="45"/>
        <v>8.4596637964692842</v>
      </c>
      <c r="M157" s="208">
        <f t="shared" si="46"/>
        <v>40.936762742697844</v>
      </c>
      <c r="N157" s="208">
        <f t="shared" si="60"/>
        <v>14.381020793516706</v>
      </c>
      <c r="O157" s="155">
        <f t="shared" si="47"/>
        <v>40.831717021990542</v>
      </c>
      <c r="P157" s="155">
        <f t="shared" si="48"/>
        <v>8.1128205628885794</v>
      </c>
      <c r="Q157" s="208">
        <f t="shared" si="49"/>
        <v>40.831717021990542</v>
      </c>
      <c r="R157" s="208">
        <f t="shared" si="61"/>
        <v>14.344118395951545</v>
      </c>
      <c r="S157" s="155">
        <f t="shared" si="50"/>
        <v>40.355369371379176</v>
      </c>
      <c r="T157" s="155">
        <f t="shared" si="51"/>
        <v>7.9972938538217404</v>
      </c>
      <c r="U157" s="208">
        <f t="shared" si="52"/>
        <v>40.355369371379176</v>
      </c>
      <c r="V157" s="208">
        <f t="shared" si="62"/>
        <v>14.176778210518666</v>
      </c>
      <c r="W157" s="155">
        <f t="shared" si="53"/>
        <v>40.216657562701883</v>
      </c>
      <c r="X157" s="155">
        <f t="shared" si="54"/>
        <v>7.9962547886273088</v>
      </c>
      <c r="Y157" s="208">
        <f t="shared" si="55"/>
        <v>40.216657562701883</v>
      </c>
      <c r="Z157" s="208">
        <f t="shared" si="63"/>
        <v>14.128048968848223</v>
      </c>
    </row>
    <row r="158" spans="1:26" s="108" customFormat="1">
      <c r="A158" s="150">
        <v>1.83</v>
      </c>
      <c r="B158" s="151">
        <f t="shared" si="64"/>
        <v>1.7207939800805803</v>
      </c>
      <c r="C158" s="152">
        <f t="shared" si="56"/>
        <v>22.058151260504204</v>
      </c>
      <c r="D158" s="152">
        <f t="shared" si="16"/>
        <v>22.358151260504204</v>
      </c>
      <c r="E158" s="153">
        <f t="shared" si="57"/>
        <v>42.098723311871375</v>
      </c>
      <c r="F158" s="154">
        <f t="shared" ref="F158:F189" si="65">(0.5*Lm*$B158*$B158*$E158*0.001)</f>
        <v>14.95918481630903</v>
      </c>
      <c r="G158" s="155">
        <f t="shared" si="58"/>
        <v>41.149233731517292</v>
      </c>
      <c r="H158" s="155">
        <f t="shared" ref="H158:H189" si="66">$I$6+Tdead+$J$6+$B158*Lm/$C$6+$K$6+$B158*Lm/VOR+$L$6</f>
        <v>14.019489468736891</v>
      </c>
      <c r="I158" s="206">
        <f t="shared" ref="I158:I189" si="67">MIN(G158,1000/H158)</f>
        <v>41.149233731517292</v>
      </c>
      <c r="J158" s="206">
        <f t="shared" si="59"/>
        <v>14.621797147603383</v>
      </c>
      <c r="K158" s="155">
        <f t="shared" ref="K158:K189" si="68">IF(1000/($D158+$I$7+$I$13)&lt;$J$13,$J$13,1000/($D158+$I$7+$I$13))</f>
        <v>41.903436034611062</v>
      </c>
      <c r="L158" s="155">
        <f t="shared" ref="L158:L189" si="69">$I$9+Tdead+$J$9+$B158*Lm/L$59+$K$9+$B158*Lm/VOR+$L$9</f>
        <v>8.4869905642804806</v>
      </c>
      <c r="M158" s="208">
        <f t="shared" ref="M158:M189" si="70">MIN(K158,1000/L158)</f>
        <v>41.903436034611062</v>
      </c>
      <c r="N158" s="208">
        <f t="shared" si="60"/>
        <v>14.889792249433089</v>
      </c>
      <c r="O158" s="155">
        <f t="shared" ref="O158:O189" si="71">IF(1000/($D158+$I$8+$I$13)&lt;$J$13,$J$13,1000/($D158+$I$8+$I$13))</f>
        <v>41.793377346823227</v>
      </c>
      <c r="P158" s="155">
        <f t="shared" ref="P158:P189" si="72">$I$9+Tdead+$J$9+$B158*Lm/P$59+$K$9+$B158*Lm/VOR+$L$9</f>
        <v>8.1381599294044165</v>
      </c>
      <c r="Q158" s="208">
        <f t="shared" ref="Q158:Q189" si="73">MIN(O158,1000/P158)</f>
        <v>41.793377346823227</v>
      </c>
      <c r="R158" s="208">
        <f t="shared" si="61"/>
        <v>14.850684454190414</v>
      </c>
      <c r="S158" s="155">
        <f t="shared" ref="S158:S189" si="74">IF((1000/($D158+$I$9+$I$13))&lt;$J$13,$J$13,1000/($D158+$I$9+$I$13))</f>
        <v>41.294464865839714</v>
      </c>
      <c r="T158" s="155">
        <f t="shared" ref="T158:T189" si="75">$I$10+Tdead+$J$10+$B158*Lm/T$59+$K$10+$B158*Lm/VOR+$L$10</f>
        <v>8.0217015546211758</v>
      </c>
      <c r="U158" s="208">
        <f t="shared" ref="U158:U189" si="76">MIN(S158,1000/T158)</f>
        <v>41.294464865839714</v>
      </c>
      <c r="V158" s="208">
        <f t="shared" si="62"/>
        <v>14.673402973350566</v>
      </c>
      <c r="W158" s="155">
        <f t="shared" ref="W158:W189" si="77">IF(1000/($D158+$I$10+$I$13)&lt;$J$13,$J$13,1000/($D158+$I$10+$I$13))</f>
        <v>41.149233731517292</v>
      </c>
      <c r="X158" s="155">
        <f t="shared" si="54"/>
        <v>8.020656535614437</v>
      </c>
      <c r="Y158" s="208">
        <f t="shared" ref="Y158:Y189" si="78">MIN(W158,1000/X158)</f>
        <v>41.149233731517292</v>
      </c>
      <c r="Z158" s="208">
        <f t="shared" si="63"/>
        <v>14.621797147603383</v>
      </c>
    </row>
    <row r="159" spans="1:26" s="108" customFormat="1">
      <c r="A159" s="150">
        <v>1.84</v>
      </c>
      <c r="B159" s="151">
        <f t="shared" si="64"/>
        <v>1.7305979016492075</v>
      </c>
      <c r="C159" s="152">
        <f t="shared" si="56"/>
        <v>21.494621848739495</v>
      </c>
      <c r="D159" s="152">
        <f t="shared" si="16"/>
        <v>21.794621848739496</v>
      </c>
      <c r="E159" s="153">
        <f t="shared" si="57"/>
        <v>43.121737760232506</v>
      </c>
      <c r="F159" s="154">
        <f t="shared" si="65"/>
        <v>15.497792641096957</v>
      </c>
      <c r="G159" s="155">
        <f t="shared" ref="G159:G190" si="79">IF(1000/($D159+$I$10+$I$13)&lt;$J$13,$J$13,1000/($D159+$I$10+$I$13))</f>
        <v>42.12608729106114</v>
      </c>
      <c r="H159" s="155">
        <f t="shared" si="66"/>
        <v>14.073788111270824</v>
      </c>
      <c r="I159" s="206">
        <f t="shared" si="67"/>
        <v>42.12608729106114</v>
      </c>
      <c r="J159" s="206">
        <f t="shared" si="59"/>
        <v>15.139959554684125</v>
      </c>
      <c r="K159" s="155">
        <f t="shared" si="68"/>
        <v>42.916867152995955</v>
      </c>
      <c r="L159" s="155">
        <f t="shared" si="69"/>
        <v>8.514317332091677</v>
      </c>
      <c r="M159" s="208">
        <f t="shared" si="70"/>
        <v>42.916867152995955</v>
      </c>
      <c r="N159" s="208">
        <f t="shared" si="60"/>
        <v>15.424162904585369</v>
      </c>
      <c r="O159" s="155">
        <f t="shared" si="71"/>
        <v>42.801427903171351</v>
      </c>
      <c r="P159" s="155">
        <f t="shared" si="72"/>
        <v>8.1634992959202535</v>
      </c>
      <c r="Q159" s="208">
        <f t="shared" si="73"/>
        <v>42.801427903171351</v>
      </c>
      <c r="R159" s="208">
        <f t="shared" si="61"/>
        <v>15.382674466286035</v>
      </c>
      <c r="S159" s="155">
        <f t="shared" si="74"/>
        <v>42.278308392570892</v>
      </c>
      <c r="T159" s="155">
        <f t="shared" si="75"/>
        <v>8.0461092554206122</v>
      </c>
      <c r="U159" s="208">
        <f t="shared" si="76"/>
        <v>42.278308392570892</v>
      </c>
      <c r="V159" s="208">
        <f t="shared" si="62"/>
        <v>15.194667254079606</v>
      </c>
      <c r="W159" s="155">
        <f t="shared" si="77"/>
        <v>42.12608729106114</v>
      </c>
      <c r="X159" s="155">
        <f t="shared" si="54"/>
        <v>8.0450582826015644</v>
      </c>
      <c r="Y159" s="208">
        <f t="shared" si="78"/>
        <v>42.12608729106114</v>
      </c>
      <c r="Z159" s="208">
        <f t="shared" si="63"/>
        <v>15.139959554684125</v>
      </c>
    </row>
    <row r="160" spans="1:26" s="108" customFormat="1">
      <c r="A160" s="150">
        <v>1.85</v>
      </c>
      <c r="B160" s="151">
        <f t="shared" si="64"/>
        <v>1.7404018232178351</v>
      </c>
      <c r="C160" s="152">
        <f t="shared" si="56"/>
        <v>20.931092436974783</v>
      </c>
      <c r="D160" s="152">
        <f t="shared" si="16"/>
        <v>21.231092436974784</v>
      </c>
      <c r="E160" s="153">
        <f t="shared" si="57"/>
        <v>44.195709749705507</v>
      </c>
      <c r="F160" s="154">
        <f t="shared" si="65"/>
        <v>16.064248657794831</v>
      </c>
      <c r="G160" s="155">
        <f t="shared" si="79"/>
        <v>43.150448261055089</v>
      </c>
      <c r="H160" s="155">
        <f t="shared" si="66"/>
        <v>14.128086753804764</v>
      </c>
      <c r="I160" s="206">
        <f t="shared" si="67"/>
        <v>43.150448261055089</v>
      </c>
      <c r="J160" s="206">
        <f t="shared" si="59"/>
        <v>15.68431719926205</v>
      </c>
      <c r="K160" s="155">
        <f t="shared" si="68"/>
        <v>43.980532681174395</v>
      </c>
      <c r="L160" s="155">
        <f t="shared" si="69"/>
        <v>8.5416440999028733</v>
      </c>
      <c r="M160" s="208">
        <f t="shared" si="70"/>
        <v>43.980532681174395</v>
      </c>
      <c r="N160" s="208">
        <f t="shared" si="60"/>
        <v>15.986036135495375</v>
      </c>
      <c r="O160" s="155">
        <f t="shared" si="71"/>
        <v>43.859308435352411</v>
      </c>
      <c r="P160" s="155">
        <f t="shared" si="72"/>
        <v>8.1888386624360905</v>
      </c>
      <c r="Q160" s="208">
        <f t="shared" si="73"/>
        <v>43.859308435352411</v>
      </c>
      <c r="R160" s="208">
        <f t="shared" si="61"/>
        <v>15.941973568353301</v>
      </c>
      <c r="S160" s="155">
        <f t="shared" si="74"/>
        <v>43.310176387937673</v>
      </c>
      <c r="T160" s="155">
        <f t="shared" si="75"/>
        <v>8.0705169562200503</v>
      </c>
      <c r="U160" s="208">
        <f t="shared" si="76"/>
        <v>43.310176387937673</v>
      </c>
      <c r="V160" s="208">
        <f t="shared" si="62"/>
        <v>15.742375150190256</v>
      </c>
      <c r="W160" s="155">
        <f t="shared" si="77"/>
        <v>43.150448261055089</v>
      </c>
      <c r="X160" s="155">
        <f t="shared" si="54"/>
        <v>8.0694600295886918</v>
      </c>
      <c r="Y160" s="208">
        <f t="shared" si="78"/>
        <v>43.150448261055089</v>
      </c>
      <c r="Z160" s="208">
        <f t="shared" si="63"/>
        <v>15.68431719926205</v>
      </c>
    </row>
    <row r="161" spans="1:26" s="108" customFormat="1">
      <c r="A161" s="150">
        <v>1.86</v>
      </c>
      <c r="B161" s="151">
        <f t="shared" si="64"/>
        <v>1.7502057447864625</v>
      </c>
      <c r="C161" s="152">
        <f t="shared" si="56"/>
        <v>20.367563025210085</v>
      </c>
      <c r="D161" s="152">
        <f t="shared" si="16"/>
        <v>20.667563025210086</v>
      </c>
      <c r="E161" s="153">
        <f t="shared" si="57"/>
        <v>45.324543909047897</v>
      </c>
      <c r="F161" s="154">
        <f t="shared" si="65"/>
        <v>16.660686738026037</v>
      </c>
      <c r="G161" s="155">
        <f t="shared" si="79"/>
        <v>44.225868662891372</v>
      </c>
      <c r="H161" s="155">
        <f t="shared" si="66"/>
        <v>14.182385396338701</v>
      </c>
      <c r="I161" s="206">
        <f t="shared" si="67"/>
        <v>44.225868662891372</v>
      </c>
      <c r="J161" s="206">
        <f t="shared" si="59"/>
        <v>16.256828639866921</v>
      </c>
      <c r="K161" s="155">
        <f t="shared" si="68"/>
        <v>45.098262620767592</v>
      </c>
      <c r="L161" s="155">
        <f t="shared" si="69"/>
        <v>8.5689708677140715</v>
      </c>
      <c r="M161" s="208">
        <f t="shared" si="70"/>
        <v>45.098262620767592</v>
      </c>
      <c r="N161" s="208">
        <f t="shared" si="60"/>
        <v>16.577508809831539</v>
      </c>
      <c r="O161" s="155">
        <f t="shared" si="71"/>
        <v>44.970807372812793</v>
      </c>
      <c r="P161" s="155">
        <f t="shared" si="72"/>
        <v>8.2141780289519275</v>
      </c>
      <c r="Q161" s="208">
        <f t="shared" si="73"/>
        <v>44.970807372812793</v>
      </c>
      <c r="R161" s="208">
        <f t="shared" si="61"/>
        <v>16.530657991794548</v>
      </c>
      <c r="S161" s="155">
        <f t="shared" si="74"/>
        <v>44.393673156580789</v>
      </c>
      <c r="T161" s="155">
        <f t="shared" si="75"/>
        <v>8.0949246570194866</v>
      </c>
      <c r="U161" s="208">
        <f t="shared" si="76"/>
        <v>44.393673156580789</v>
      </c>
      <c r="V161" s="208">
        <f t="shared" si="62"/>
        <v>16.318511292608061</v>
      </c>
      <c r="W161" s="155">
        <f t="shared" si="77"/>
        <v>44.225868662891372</v>
      </c>
      <c r="X161" s="155">
        <f t="shared" si="54"/>
        <v>8.093861776575821</v>
      </c>
      <c r="Y161" s="208">
        <f t="shared" si="78"/>
        <v>44.225868662891372</v>
      </c>
      <c r="Z161" s="208">
        <f t="shared" si="63"/>
        <v>16.256828639866921</v>
      </c>
    </row>
    <row r="162" spans="1:26" s="108" customFormat="1">
      <c r="A162" s="150">
        <v>1.87</v>
      </c>
      <c r="B162" s="151">
        <f t="shared" si="64"/>
        <v>1.7600096663550899</v>
      </c>
      <c r="C162" s="152">
        <f t="shared" si="56"/>
        <v>19.804033613445377</v>
      </c>
      <c r="D162" s="152">
        <f t="shared" si="16"/>
        <v>20.104033613445377</v>
      </c>
      <c r="E162" s="153">
        <f t="shared" si="57"/>
        <v>46.512554246918732</v>
      </c>
      <c r="F162" s="154">
        <f t="shared" si="65"/>
        <v>17.289464478692167</v>
      </c>
      <c r="G162" s="155">
        <f t="shared" si="79"/>
        <v>45.356263670784045</v>
      </c>
      <c r="H162" s="155">
        <f t="shared" si="66"/>
        <v>14.236684038872637</v>
      </c>
      <c r="I162" s="206">
        <f t="shared" si="67"/>
        <v>45.356263670784045</v>
      </c>
      <c r="J162" s="206">
        <f t="shared" si="59"/>
        <v>16.859652674829526</v>
      </c>
      <c r="K162" s="155">
        <f t="shared" si="68"/>
        <v>46.274286472002345</v>
      </c>
      <c r="L162" s="155">
        <f t="shared" si="69"/>
        <v>8.5962976355252678</v>
      </c>
      <c r="M162" s="208">
        <f t="shared" si="70"/>
        <v>46.274286472002345</v>
      </c>
      <c r="N162" s="208">
        <f t="shared" si="60"/>
        <v>17.200896514676156</v>
      </c>
      <c r="O162" s="155">
        <f t="shared" si="71"/>
        <v>46.140107161474077</v>
      </c>
      <c r="P162" s="155">
        <f t="shared" si="72"/>
        <v>8.2395173954677645</v>
      </c>
      <c r="Q162" s="208">
        <f t="shared" si="73"/>
        <v>46.140107161474077</v>
      </c>
      <c r="R162" s="208">
        <f t="shared" si="61"/>
        <v>17.15101990693627</v>
      </c>
      <c r="S162" s="155">
        <f t="shared" si="74"/>
        <v>45.532772935370318</v>
      </c>
      <c r="T162" s="155">
        <f t="shared" si="75"/>
        <v>8.1193323578189247</v>
      </c>
      <c r="U162" s="208">
        <f t="shared" si="76"/>
        <v>45.532772935370318</v>
      </c>
      <c r="V162" s="208">
        <f t="shared" si="62"/>
        <v>16.925264007288796</v>
      </c>
      <c r="W162" s="155">
        <f t="shared" si="77"/>
        <v>45.356263670784045</v>
      </c>
      <c r="X162" s="155">
        <f t="shared" si="54"/>
        <v>8.1182635235629483</v>
      </c>
      <c r="Y162" s="208">
        <f t="shared" si="78"/>
        <v>45.356263670784045</v>
      </c>
      <c r="Z162" s="208">
        <f t="shared" si="63"/>
        <v>16.859652674829526</v>
      </c>
    </row>
    <row r="163" spans="1:26" s="108" customFormat="1">
      <c r="A163" s="150">
        <v>1.88</v>
      </c>
      <c r="B163" s="151">
        <f t="shared" si="64"/>
        <v>1.7698135879237173</v>
      </c>
      <c r="C163" s="152">
        <f t="shared" si="56"/>
        <v>19.240504201680686</v>
      </c>
      <c r="D163" s="152">
        <f t="shared" si="16"/>
        <v>19.540504201680687</v>
      </c>
      <c r="E163" s="153">
        <f t="shared" si="57"/>
        <v>47.764519247681754</v>
      </c>
      <c r="F163" s="154">
        <f t="shared" si="65"/>
        <v>17.953193311716685</v>
      </c>
      <c r="G163" s="155">
        <f t="shared" si="79"/>
        <v>46.545959239292308</v>
      </c>
      <c r="H163" s="155">
        <f t="shared" si="66"/>
        <v>14.290982681406573</v>
      </c>
      <c r="I163" s="206">
        <f t="shared" si="67"/>
        <v>46.545959239292308</v>
      </c>
      <c r="J163" s="206">
        <f t="shared" si="59"/>
        <v>17.495174603748538</v>
      </c>
      <c r="K163" s="155">
        <f t="shared" si="68"/>
        <v>47.513286716855333</v>
      </c>
      <c r="L163" s="155">
        <f t="shared" si="69"/>
        <v>8.6236244033364642</v>
      </c>
      <c r="M163" s="208">
        <f t="shared" si="70"/>
        <v>47.513286716855333</v>
      </c>
      <c r="N163" s="208">
        <f t="shared" si="60"/>
        <v>17.858762837733895</v>
      </c>
      <c r="O163" s="155">
        <f t="shared" si="71"/>
        <v>47.371836855915909</v>
      </c>
      <c r="P163" s="155">
        <f t="shared" si="72"/>
        <v>8.2648567619836015</v>
      </c>
      <c r="Q163" s="208">
        <f t="shared" si="73"/>
        <v>47.371836855915909</v>
      </c>
      <c r="R163" s="208">
        <f t="shared" si="61"/>
        <v>17.805596245933977</v>
      </c>
      <c r="S163" s="155">
        <f t="shared" si="74"/>
        <v>46.731868603829348</v>
      </c>
      <c r="T163" s="155">
        <f t="shared" si="75"/>
        <v>8.143740058618361</v>
      </c>
      <c r="U163" s="208">
        <f t="shared" si="76"/>
        <v>46.731868603829348</v>
      </c>
      <c r="V163" s="208">
        <f t="shared" si="62"/>
        <v>17.565052136539865</v>
      </c>
      <c r="W163" s="155">
        <f t="shared" si="77"/>
        <v>46.545959239292308</v>
      </c>
      <c r="X163" s="155">
        <f t="shared" si="54"/>
        <v>8.1426652705500757</v>
      </c>
      <c r="Y163" s="208">
        <f t="shared" si="78"/>
        <v>46.545959239292308</v>
      </c>
      <c r="Z163" s="208">
        <f t="shared" si="63"/>
        <v>17.495174603748538</v>
      </c>
    </row>
    <row r="164" spans="1:26" s="108" customFormat="1">
      <c r="A164" s="150">
        <v>1.89</v>
      </c>
      <c r="B164" s="151">
        <f t="shared" si="64"/>
        <v>1.7796175094923445</v>
      </c>
      <c r="C164" s="152">
        <f t="shared" si="56"/>
        <v>18.676974789915974</v>
      </c>
      <c r="D164" s="152">
        <f t="shared" si="16"/>
        <v>18.976974789915975</v>
      </c>
      <c r="E164" s="153">
        <f t="shared" si="57"/>
        <v>49.085746111325612</v>
      </c>
      <c r="F164" s="154">
        <f t="shared" si="65"/>
        <v>18.654773611029778</v>
      </c>
      <c r="G164" s="155">
        <f t="shared" si="79"/>
        <v>47.799747428375099</v>
      </c>
      <c r="H164" s="155">
        <f t="shared" si="66"/>
        <v>14.345281323940506</v>
      </c>
      <c r="I164" s="206">
        <f t="shared" si="67"/>
        <v>47.799747428375099</v>
      </c>
      <c r="J164" s="206">
        <f t="shared" si="59"/>
        <v>18.166036733319586</v>
      </c>
      <c r="K164" s="155">
        <f t="shared" si="68"/>
        <v>48.820461130692351</v>
      </c>
      <c r="L164" s="155">
        <f t="shared" si="69"/>
        <v>8.6509511711476605</v>
      </c>
      <c r="M164" s="208">
        <f t="shared" si="70"/>
        <v>48.820461130692351</v>
      </c>
      <c r="N164" s="208">
        <f t="shared" si="60"/>
        <v>18.553953482007067</v>
      </c>
      <c r="O164" s="155">
        <f t="shared" si="71"/>
        <v>48.6711333664283</v>
      </c>
      <c r="P164" s="155">
        <f t="shared" si="72"/>
        <v>8.2901961284994385</v>
      </c>
      <c r="Q164" s="208">
        <f t="shared" si="73"/>
        <v>48.6711333664283</v>
      </c>
      <c r="R164" s="208">
        <f t="shared" si="61"/>
        <v>18.497202268938626</v>
      </c>
      <c r="S164" s="155">
        <f t="shared" si="74"/>
        <v>47.995828299400848</v>
      </c>
      <c r="T164" s="155">
        <f t="shared" si="75"/>
        <v>8.1681477594177974</v>
      </c>
      <c r="U164" s="208">
        <f t="shared" si="76"/>
        <v>47.995828299400848</v>
      </c>
      <c r="V164" s="208">
        <f t="shared" si="62"/>
        <v>18.240556212969402</v>
      </c>
      <c r="W164" s="155">
        <f t="shared" si="77"/>
        <v>47.799747428375099</v>
      </c>
      <c r="X164" s="155">
        <f t="shared" si="54"/>
        <v>8.1670670175372049</v>
      </c>
      <c r="Y164" s="208">
        <f t="shared" si="78"/>
        <v>47.799747428375099</v>
      </c>
      <c r="Z164" s="208">
        <f t="shared" si="63"/>
        <v>18.166036733319586</v>
      </c>
    </row>
    <row r="165" spans="1:26" s="108" customFormat="1">
      <c r="A165" s="150">
        <v>1.9</v>
      </c>
      <c r="B165" s="151">
        <f t="shared" si="64"/>
        <v>1.7894214310609722</v>
      </c>
      <c r="C165" s="152">
        <f t="shared" si="56"/>
        <v>18.113445378151276</v>
      </c>
      <c r="D165" s="152">
        <f t="shared" si="16"/>
        <v>18.413445378151277</v>
      </c>
      <c r="E165" s="153">
        <f t="shared" si="57"/>
        <v>50.482145958434067</v>
      </c>
      <c r="F165" s="154">
        <f t="shared" si="65"/>
        <v>19.397435791930707</v>
      </c>
      <c r="G165" s="155">
        <f t="shared" si="79"/>
        <v>49.122950917569703</v>
      </c>
      <c r="H165" s="155">
        <f t="shared" si="66"/>
        <v>14.399579966474446</v>
      </c>
      <c r="I165" s="206">
        <f t="shared" si="67"/>
        <v>49.122950917569703</v>
      </c>
      <c r="J165" s="206">
        <f t="shared" si="59"/>
        <v>18.875173949979985</v>
      </c>
      <c r="K165" s="155">
        <f t="shared" si="68"/>
        <v>50.201595670712834</v>
      </c>
      <c r="L165" s="155">
        <f t="shared" si="69"/>
        <v>8.6782779389588569</v>
      </c>
      <c r="M165" s="208">
        <f t="shared" si="70"/>
        <v>50.201595670712834</v>
      </c>
      <c r="N165" s="208">
        <f t="shared" si="60"/>
        <v>19.289636171111081</v>
      </c>
      <c r="O165" s="155">
        <f t="shared" si="71"/>
        <v>50.043713069470236</v>
      </c>
      <c r="P165" s="155">
        <f t="shared" si="72"/>
        <v>8.3155354950152756</v>
      </c>
      <c r="Q165" s="208">
        <f t="shared" si="73"/>
        <v>50.043713069470236</v>
      </c>
      <c r="R165" s="208">
        <f t="shared" si="61"/>
        <v>19.22897080988044</v>
      </c>
      <c r="S165" s="155">
        <f t="shared" si="74"/>
        <v>49.330061475780631</v>
      </c>
      <c r="T165" s="155">
        <f t="shared" si="75"/>
        <v>8.1925554602172355</v>
      </c>
      <c r="U165" s="208">
        <f t="shared" si="76"/>
        <v>49.330061475780631</v>
      </c>
      <c r="V165" s="208">
        <f t="shared" si="62"/>
        <v>18.954754833051698</v>
      </c>
      <c r="W165" s="155">
        <f t="shared" si="77"/>
        <v>49.122950917569703</v>
      </c>
      <c r="X165" s="155">
        <f t="shared" si="54"/>
        <v>8.1914687645243323</v>
      </c>
      <c r="Y165" s="208">
        <f t="shared" si="78"/>
        <v>49.122950917569703</v>
      </c>
      <c r="Z165" s="208">
        <f t="shared" si="63"/>
        <v>18.875173949979985</v>
      </c>
    </row>
    <row r="166" spans="1:26" s="108" customFormat="1">
      <c r="A166" s="150">
        <v>1.91</v>
      </c>
      <c r="B166" s="151">
        <f t="shared" si="64"/>
        <v>1.7992253526295996</v>
      </c>
      <c r="C166" s="152">
        <f t="shared" si="56"/>
        <v>17.549915966386568</v>
      </c>
      <c r="D166" s="152">
        <f t="shared" si="16"/>
        <v>17.849915966386568</v>
      </c>
      <c r="E166" s="153">
        <f t="shared" si="57"/>
        <v>51.96032224769386</v>
      </c>
      <c r="F166" s="154">
        <f t="shared" si="65"/>
        <v>20.184788631074792</v>
      </c>
      <c r="G166" s="155">
        <f t="shared" si="79"/>
        <v>50.521498540618516</v>
      </c>
      <c r="H166" s="155">
        <f t="shared" si="66"/>
        <v>14.453878609008383</v>
      </c>
      <c r="I166" s="206">
        <f t="shared" si="67"/>
        <v>50.521498540618516</v>
      </c>
      <c r="J166" s="206">
        <f t="shared" si="59"/>
        <v>19.62585536914753</v>
      </c>
      <c r="K166" s="155">
        <f t="shared" si="68"/>
        <v>51.663150096710936</v>
      </c>
      <c r="L166" s="155">
        <f t="shared" si="69"/>
        <v>8.705604706770055</v>
      </c>
      <c r="M166" s="208">
        <f t="shared" si="70"/>
        <v>51.663150096710936</v>
      </c>
      <c r="N166" s="208">
        <f t="shared" si="60"/>
        <v>20.069347525339573</v>
      </c>
      <c r="O166" s="155">
        <f t="shared" si="71"/>
        <v>51.49595588672117</v>
      </c>
      <c r="P166" s="155">
        <f t="shared" si="72"/>
        <v>8.3408748615311126</v>
      </c>
      <c r="Q166" s="208">
        <f t="shared" si="73"/>
        <v>51.49595588672117</v>
      </c>
      <c r="R166" s="208">
        <f t="shared" si="61"/>
        <v>20.004398355607801</v>
      </c>
      <c r="S166" s="155">
        <f t="shared" si="74"/>
        <v>50.740596294410743</v>
      </c>
      <c r="T166" s="155">
        <f t="shared" si="75"/>
        <v>8.2169631610166718</v>
      </c>
      <c r="U166" s="208">
        <f t="shared" si="76"/>
        <v>50.740596294410743</v>
      </c>
      <c r="V166" s="208">
        <f t="shared" si="62"/>
        <v>19.710967271047554</v>
      </c>
      <c r="W166" s="155">
        <f t="shared" si="77"/>
        <v>50.521498540618516</v>
      </c>
      <c r="X166" s="155">
        <f t="shared" si="54"/>
        <v>8.2158705115114614</v>
      </c>
      <c r="Y166" s="208">
        <f t="shared" si="78"/>
        <v>50.521498540618516</v>
      </c>
      <c r="Z166" s="208">
        <f t="shared" si="63"/>
        <v>19.62585536914753</v>
      </c>
    </row>
    <row r="167" spans="1:26" s="108" customFormat="1">
      <c r="A167" s="150">
        <v>1.92</v>
      </c>
      <c r="B167" s="151">
        <f t="shared" si="64"/>
        <v>1.809029274198227</v>
      </c>
      <c r="C167" s="152">
        <f t="shared" si="56"/>
        <v>16.986386554621856</v>
      </c>
      <c r="D167" s="152">
        <f t="shared" si="16"/>
        <v>17.286386554621856</v>
      </c>
      <c r="E167" s="153">
        <f t="shared" si="57"/>
        <v>53.527675195778677</v>
      </c>
      <c r="F167" s="154">
        <f t="shared" si="65"/>
        <v>21.020876331726306</v>
      </c>
      <c r="G167" s="155">
        <f t="shared" si="79"/>
        <v>52.002014101196693</v>
      </c>
      <c r="H167" s="155">
        <f t="shared" si="66"/>
        <v>14.508177251542319</v>
      </c>
      <c r="I167" s="206">
        <f t="shared" si="67"/>
        <v>52.002014101196693</v>
      </c>
      <c r="J167" s="206">
        <f t="shared" si="59"/>
        <v>20.421733307561055</v>
      </c>
      <c r="K167" s="155">
        <f t="shared" si="68"/>
        <v>53.212358996755519</v>
      </c>
      <c r="L167" s="155">
        <f t="shared" si="69"/>
        <v>8.7329314745812514</v>
      </c>
      <c r="M167" s="208">
        <f t="shared" si="70"/>
        <v>53.212358996755519</v>
      </c>
      <c r="N167" s="208">
        <f t="shared" si="60"/>
        <v>20.89704837168857</v>
      </c>
      <c r="O167" s="155">
        <f t="shared" si="71"/>
        <v>53.03500444124699</v>
      </c>
      <c r="P167" s="155">
        <f t="shared" si="72"/>
        <v>8.3662142280469496</v>
      </c>
      <c r="Q167" s="208">
        <f t="shared" si="73"/>
        <v>53.03500444124699</v>
      </c>
      <c r="R167" s="208">
        <f t="shared" si="61"/>
        <v>20.827399387969827</v>
      </c>
      <c r="S167" s="155">
        <f t="shared" si="74"/>
        <v>52.234170684312204</v>
      </c>
      <c r="T167" s="155">
        <f t="shared" si="75"/>
        <v>8.2413708618161099</v>
      </c>
      <c r="U167" s="208">
        <f t="shared" si="76"/>
        <v>52.234170684312204</v>
      </c>
      <c r="V167" s="208">
        <f t="shared" si="62"/>
        <v>20.512903619094633</v>
      </c>
      <c r="W167" s="155">
        <f t="shared" si="77"/>
        <v>52.002014101196693</v>
      </c>
      <c r="X167" s="155">
        <f t="shared" si="54"/>
        <v>8.2402722584985888</v>
      </c>
      <c r="Y167" s="208">
        <f t="shared" si="78"/>
        <v>52.002014101196693</v>
      </c>
      <c r="Z167" s="208">
        <f t="shared" si="63"/>
        <v>20.421733307561055</v>
      </c>
    </row>
    <row r="168" spans="1:26" s="108" customFormat="1">
      <c r="A168" s="150">
        <v>1.93</v>
      </c>
      <c r="B168" s="151">
        <f t="shared" si="64"/>
        <v>1.8188331957668546</v>
      </c>
      <c r="C168" s="152">
        <f t="shared" si="56"/>
        <v>16.422857142857154</v>
      </c>
      <c r="D168" s="152">
        <f t="shared" si="16"/>
        <v>16.722857142857155</v>
      </c>
      <c r="E168" s="153">
        <f t="shared" si="57"/>
        <v>55.192525683620033</v>
      </c>
      <c r="F168" s="154">
        <f t="shared" si="65"/>
        <v>21.910246238281882</v>
      </c>
      <c r="G168" s="155">
        <f t="shared" si="79"/>
        <v>53.571921276376294</v>
      </c>
      <c r="H168" s="155">
        <f t="shared" si="66"/>
        <v>14.562475894076256</v>
      </c>
      <c r="I168" s="206">
        <f t="shared" si="67"/>
        <v>53.571921276376294</v>
      </c>
      <c r="J168" s="206">
        <f t="shared" si="59"/>
        <v>21.266901126280725</v>
      </c>
      <c r="K168" s="155">
        <f t="shared" si="68"/>
        <v>54.857351551354753</v>
      </c>
      <c r="L168" s="155">
        <f t="shared" si="69"/>
        <v>8.7602582423924495</v>
      </c>
      <c r="M168" s="208">
        <f t="shared" si="70"/>
        <v>54.857351551354753</v>
      </c>
      <c r="N168" s="208">
        <f t="shared" si="60"/>
        <v>21.777189312916093</v>
      </c>
      <c r="O168" s="155">
        <f t="shared" si="71"/>
        <v>54.668881542201284</v>
      </c>
      <c r="P168" s="155">
        <f t="shared" si="72"/>
        <v>8.3915535945627884</v>
      </c>
      <c r="Q168" s="208">
        <f t="shared" si="73"/>
        <v>54.668881542201284</v>
      </c>
      <c r="R168" s="208">
        <f t="shared" si="61"/>
        <v>21.702370770768653</v>
      </c>
      <c r="S168" s="155">
        <f t="shared" si="74"/>
        <v>53.818339972012524</v>
      </c>
      <c r="T168" s="155">
        <f t="shared" si="75"/>
        <v>8.265778562615548</v>
      </c>
      <c r="U168" s="208">
        <f t="shared" si="76"/>
        <v>53.818339972012524</v>
      </c>
      <c r="V168" s="208">
        <f t="shared" si="62"/>
        <v>21.364724051255301</v>
      </c>
      <c r="W168" s="155">
        <f t="shared" si="77"/>
        <v>53.571921276376294</v>
      </c>
      <c r="X168" s="155">
        <f t="shared" si="54"/>
        <v>8.264674005485718</v>
      </c>
      <c r="Y168" s="208">
        <f t="shared" si="78"/>
        <v>53.571921276376294</v>
      </c>
      <c r="Z168" s="208">
        <f t="shared" si="63"/>
        <v>21.266901126280725</v>
      </c>
    </row>
    <row r="169" spans="1:26" s="108" customFormat="1">
      <c r="A169" s="150">
        <v>1.94</v>
      </c>
      <c r="B169" s="151">
        <f t="shared" si="64"/>
        <v>1.8286371173354821</v>
      </c>
      <c r="C169" s="152">
        <f t="shared" si="56"/>
        <v>15.859327731092442</v>
      </c>
      <c r="D169" s="152">
        <f t="shared" si="16"/>
        <v>16.159327731092443</v>
      </c>
      <c r="E169" s="153">
        <f t="shared" si="57"/>
        <v>56.964263027797323</v>
      </c>
      <c r="F169" s="154">
        <f t="shared" si="65"/>
        <v>22.858029593032644</v>
      </c>
      <c r="G169" s="155">
        <f t="shared" si="79"/>
        <v>55.239568113406499</v>
      </c>
      <c r="H169" s="155">
        <f t="shared" si="66"/>
        <v>14.616774536610192</v>
      </c>
      <c r="I169" s="206">
        <f t="shared" si="67"/>
        <v>55.239568113406499</v>
      </c>
      <c r="J169" s="206">
        <f t="shared" si="59"/>
        <v>22.165961877298997</v>
      </c>
      <c r="K169" s="155">
        <f t="shared" si="68"/>
        <v>56.607294220392077</v>
      </c>
      <c r="L169" s="155">
        <f t="shared" si="69"/>
        <v>8.7875850102036459</v>
      </c>
      <c r="M169" s="208">
        <f t="shared" si="70"/>
        <v>56.607294220392077</v>
      </c>
      <c r="N169" s="208">
        <f t="shared" si="60"/>
        <v>22.714788846470594</v>
      </c>
      <c r="O169" s="155">
        <f t="shared" si="71"/>
        <v>56.406630076299464</v>
      </c>
      <c r="P169" s="155">
        <f t="shared" si="72"/>
        <v>8.4168929610786254</v>
      </c>
      <c r="Q169" s="208">
        <f t="shared" si="73"/>
        <v>56.406630076299464</v>
      </c>
      <c r="R169" s="208">
        <f t="shared" si="61"/>
        <v>22.634268416640911</v>
      </c>
      <c r="S169" s="155">
        <f t="shared" si="74"/>
        <v>55.501604709382931</v>
      </c>
      <c r="T169" s="155">
        <f t="shared" si="75"/>
        <v>8.2901862634149843</v>
      </c>
      <c r="U169" s="208">
        <f t="shared" si="76"/>
        <v>55.501604709382931</v>
      </c>
      <c r="V169" s="208">
        <f t="shared" si="62"/>
        <v>22.271109209098306</v>
      </c>
      <c r="W169" s="155">
        <f t="shared" si="77"/>
        <v>55.239568113406499</v>
      </c>
      <c r="X169" s="155">
        <f t="shared" si="54"/>
        <v>8.2890757524728453</v>
      </c>
      <c r="Y169" s="208">
        <f t="shared" si="78"/>
        <v>55.239568113406499</v>
      </c>
      <c r="Z169" s="208">
        <f t="shared" si="63"/>
        <v>22.165961877298997</v>
      </c>
    </row>
    <row r="170" spans="1:26" s="108" customFormat="1">
      <c r="A170" s="150">
        <v>1.95</v>
      </c>
      <c r="B170" s="151">
        <f t="shared" si="64"/>
        <v>1.8384410389041093</v>
      </c>
      <c r="C170" s="152">
        <f t="shared" si="56"/>
        <v>15.295798319327739</v>
      </c>
      <c r="D170" s="152">
        <f t="shared" si="16"/>
        <v>15.59579831932774</v>
      </c>
      <c r="E170" s="153">
        <f t="shared" si="57"/>
        <v>58.853522157568847</v>
      </c>
      <c r="F170" s="154">
        <f t="shared" si="65"/>
        <v>23.870038363049069</v>
      </c>
      <c r="G170" s="155">
        <f t="shared" si="79"/>
        <v>57.014375526443061</v>
      </c>
      <c r="H170" s="155">
        <f t="shared" si="66"/>
        <v>14.671073179144129</v>
      </c>
      <c r="I170" s="206">
        <f t="shared" si="67"/>
        <v>57.014375526443061</v>
      </c>
      <c r="J170" s="206">
        <f t="shared" si="59"/>
        <v>23.124110183547593</v>
      </c>
      <c r="K170" s="155">
        <f t="shared" si="68"/>
        <v>58.472561640132355</v>
      </c>
      <c r="L170" s="155">
        <f t="shared" si="69"/>
        <v>8.8149117780148423</v>
      </c>
      <c r="M170" s="208">
        <f t="shared" si="70"/>
        <v>58.472561640132355</v>
      </c>
      <c r="N170" s="208">
        <f t="shared" si="60"/>
        <v>23.71552692800411</v>
      </c>
      <c r="O170" s="155">
        <f t="shared" si="71"/>
        <v>58.258480455423232</v>
      </c>
      <c r="P170" s="155">
        <f t="shared" si="72"/>
        <v>8.4422323275944606</v>
      </c>
      <c r="Q170" s="208">
        <f t="shared" si="73"/>
        <v>58.258480455423232</v>
      </c>
      <c r="R170" s="208">
        <f t="shared" si="61"/>
        <v>23.628699055950296</v>
      </c>
      <c r="S170" s="155">
        <f t="shared" si="74"/>
        <v>57.293563264238863</v>
      </c>
      <c r="T170" s="155">
        <f t="shared" si="75"/>
        <v>8.3145939642144207</v>
      </c>
      <c r="U170" s="208">
        <f t="shared" si="76"/>
        <v>57.293563264238863</v>
      </c>
      <c r="V170" s="208">
        <f t="shared" si="62"/>
        <v>23.237344222350515</v>
      </c>
      <c r="W170" s="155">
        <f t="shared" si="77"/>
        <v>57.014375526443061</v>
      </c>
      <c r="X170" s="155">
        <f t="shared" si="54"/>
        <v>8.3134774994599727</v>
      </c>
      <c r="Y170" s="208">
        <f t="shared" si="78"/>
        <v>57.014375526443061</v>
      </c>
      <c r="Z170" s="208">
        <f t="shared" si="63"/>
        <v>23.124110183547593</v>
      </c>
    </row>
    <row r="171" spans="1:26" s="108" customFormat="1">
      <c r="A171" s="150">
        <v>1.96</v>
      </c>
      <c r="B171" s="151">
        <f t="shared" si="64"/>
        <v>1.8482449604727371</v>
      </c>
      <c r="C171" s="152">
        <f t="shared" si="56"/>
        <v>14.732268907563034</v>
      </c>
      <c r="D171" s="152">
        <f t="shared" si="16"/>
        <v>15.032268907563035</v>
      </c>
      <c r="E171" s="153">
        <f t="shared" si="57"/>
        <v>60.872397258536111</v>
      </c>
      <c r="F171" s="154">
        <f t="shared" si="65"/>
        <v>24.952881996006152</v>
      </c>
      <c r="G171" s="155">
        <f t="shared" si="79"/>
        <v>58.907015370116419</v>
      </c>
      <c r="H171" s="155">
        <f t="shared" si="66"/>
        <v>14.725371821678067</v>
      </c>
      <c r="I171" s="206">
        <f t="shared" si="67"/>
        <v>58.907015370116419</v>
      </c>
      <c r="J171" s="206">
        <f t="shared" si="59"/>
        <v>24.14723042735617</v>
      </c>
      <c r="K171" s="155">
        <f t="shared" si="68"/>
        <v>60.464942458863682</v>
      </c>
      <c r="L171" s="155">
        <f t="shared" si="69"/>
        <v>8.8422385458260404</v>
      </c>
      <c r="M171" s="208">
        <f t="shared" si="70"/>
        <v>60.464942458863682</v>
      </c>
      <c r="N171" s="208">
        <f t="shared" si="60"/>
        <v>24.785857663257261</v>
      </c>
      <c r="O171" s="155">
        <f t="shared" si="71"/>
        <v>60.236052168065221</v>
      </c>
      <c r="P171" s="155">
        <f t="shared" si="72"/>
        <v>8.4675716941102994</v>
      </c>
      <c r="Q171" s="208">
        <f t="shared" si="73"/>
        <v>60.236052168065221</v>
      </c>
      <c r="R171" s="208">
        <f t="shared" si="61"/>
        <v>24.692030696133429</v>
      </c>
      <c r="S171" s="155">
        <f t="shared" si="74"/>
        <v>59.205094956965887</v>
      </c>
      <c r="T171" s="155">
        <f t="shared" si="75"/>
        <v>8.3390016650138588</v>
      </c>
      <c r="U171" s="208">
        <f t="shared" si="76"/>
        <v>59.205094956965887</v>
      </c>
      <c r="V171" s="208">
        <f t="shared" si="62"/>
        <v>24.269419549044329</v>
      </c>
      <c r="W171" s="155">
        <f t="shared" si="77"/>
        <v>58.907015370116419</v>
      </c>
      <c r="X171" s="155">
        <f t="shared" si="54"/>
        <v>8.3378792464471019</v>
      </c>
      <c r="Y171" s="208">
        <f t="shared" si="78"/>
        <v>58.907015370116419</v>
      </c>
      <c r="Z171" s="208">
        <f t="shared" si="63"/>
        <v>24.14723042735617</v>
      </c>
    </row>
    <row r="172" spans="1:26" s="108" customFormat="1">
      <c r="A172" s="150">
        <v>1.97</v>
      </c>
      <c r="B172" s="151">
        <f t="shared" si="64"/>
        <v>1.8580488820413643</v>
      </c>
      <c r="C172" s="152">
        <f t="shared" si="56"/>
        <v>14.168739495798325</v>
      </c>
      <c r="D172" s="152">
        <f t="shared" si="16"/>
        <v>14.468739495798326</v>
      </c>
      <c r="E172" s="153">
        <f t="shared" si="57"/>
        <v>63.03470095049105</v>
      </c>
      <c r="F172" s="154">
        <f t="shared" si="65"/>
        <v>26.114109060346379</v>
      </c>
      <c r="G172" s="155">
        <f t="shared" si="79"/>
        <v>60.929625198714618</v>
      </c>
      <c r="H172" s="155">
        <f t="shared" si="66"/>
        <v>14.779670464212002</v>
      </c>
      <c r="I172" s="206">
        <f t="shared" si="67"/>
        <v>60.929625198714618</v>
      </c>
      <c r="J172" s="206">
        <f t="shared" si="59"/>
        <v>25.242015167089761</v>
      </c>
      <c r="K172" s="155">
        <f t="shared" si="68"/>
        <v>62.597888738580387</v>
      </c>
      <c r="L172" s="155">
        <f t="shared" si="69"/>
        <v>8.8695653136372368</v>
      </c>
      <c r="M172" s="208">
        <f t="shared" si="70"/>
        <v>62.597888738580387</v>
      </c>
      <c r="N172" s="208">
        <f t="shared" si="60"/>
        <v>25.933145851689524</v>
      </c>
      <c r="O172" s="155">
        <f t="shared" si="71"/>
        <v>62.352597822884142</v>
      </c>
      <c r="P172" s="155">
        <f t="shared" si="72"/>
        <v>8.4929110606261364</v>
      </c>
      <c r="Q172" s="208">
        <f t="shared" si="73"/>
        <v>62.352597822884142</v>
      </c>
      <c r="R172" s="208">
        <f t="shared" si="61"/>
        <v>25.831526368652156</v>
      </c>
      <c r="S172" s="155">
        <f t="shared" si="74"/>
        <v>61.248581123323298</v>
      </c>
      <c r="T172" s="155">
        <f t="shared" si="75"/>
        <v>8.3634093658132951</v>
      </c>
      <c r="U172" s="208">
        <f t="shared" si="76"/>
        <v>61.248581123323298</v>
      </c>
      <c r="V172" s="208">
        <f t="shared" si="62"/>
        <v>25.374152698879062</v>
      </c>
      <c r="W172" s="155">
        <f t="shared" si="77"/>
        <v>60.929625198714618</v>
      </c>
      <c r="X172" s="155">
        <f t="shared" si="54"/>
        <v>8.3622809934342293</v>
      </c>
      <c r="Y172" s="208">
        <f t="shared" si="78"/>
        <v>60.929625198714618</v>
      </c>
      <c r="Z172" s="208">
        <f t="shared" si="63"/>
        <v>25.242015167089761</v>
      </c>
    </row>
    <row r="173" spans="1:26" s="108" customFormat="1">
      <c r="A173" s="150">
        <v>1.98</v>
      </c>
      <c r="B173" s="151">
        <f t="shared" si="64"/>
        <v>1.8678528036099917</v>
      </c>
      <c r="C173" s="152">
        <f t="shared" si="56"/>
        <v>13.605210084033621</v>
      </c>
      <c r="D173" s="152">
        <f t="shared" si="16"/>
        <v>13.905210084033621</v>
      </c>
      <c r="E173" s="153">
        <f t="shared" si="57"/>
        <v>65.3562807386743</v>
      </c>
      <c r="F173" s="154">
        <f t="shared" si="65"/>
        <v>27.362380185244675</v>
      </c>
      <c r="G173" s="155">
        <f t="shared" si="79"/>
        <v>63.09606884186347</v>
      </c>
      <c r="H173" s="155">
        <f t="shared" si="66"/>
        <v>14.833969106745938</v>
      </c>
      <c r="I173" s="206">
        <f t="shared" si="67"/>
        <v>63.09606884186347</v>
      </c>
      <c r="J173" s="206">
        <f t="shared" si="59"/>
        <v>26.416108816666711</v>
      </c>
      <c r="K173" s="155">
        <f t="shared" si="68"/>
        <v>64.886820073846522</v>
      </c>
      <c r="L173" s="155">
        <f t="shared" si="69"/>
        <v>8.8968920814484331</v>
      </c>
      <c r="M173" s="208">
        <f t="shared" si="70"/>
        <v>64.886820073846522</v>
      </c>
      <c r="N173" s="208">
        <f t="shared" si="60"/>
        <v>27.16583348693425</v>
      </c>
      <c r="O173" s="155">
        <f t="shared" si="71"/>
        <v>64.623300516456013</v>
      </c>
      <c r="P173" s="155">
        <f t="shared" si="72"/>
        <v>8.5182504271419734</v>
      </c>
      <c r="Q173" s="208">
        <f t="shared" si="73"/>
        <v>64.623300516456013</v>
      </c>
      <c r="R173" s="208">
        <f t="shared" si="61"/>
        <v>27.05550710002742</v>
      </c>
      <c r="S173" s="155">
        <f t="shared" si="74"/>
        <v>63.438173594259723</v>
      </c>
      <c r="T173" s="155">
        <f t="shared" si="75"/>
        <v>8.3878170666127332</v>
      </c>
      <c r="U173" s="208">
        <f t="shared" si="76"/>
        <v>63.438173594259723</v>
      </c>
      <c r="V173" s="208">
        <f t="shared" si="62"/>
        <v>26.559336065715264</v>
      </c>
      <c r="W173" s="155">
        <f t="shared" si="77"/>
        <v>63.09606884186347</v>
      </c>
      <c r="X173" s="155">
        <f t="shared" si="54"/>
        <v>8.3866827404213584</v>
      </c>
      <c r="Y173" s="208">
        <f t="shared" si="78"/>
        <v>63.09606884186347</v>
      </c>
      <c r="Z173" s="208">
        <f t="shared" si="63"/>
        <v>26.416108816666711</v>
      </c>
    </row>
    <row r="174" spans="1:26" s="108" customFormat="1">
      <c r="A174" s="150">
        <v>1.99</v>
      </c>
      <c r="B174" s="151">
        <f t="shared" si="64"/>
        <v>1.8776567251786194</v>
      </c>
      <c r="C174" s="152">
        <f t="shared" si="56"/>
        <v>13.041680672268917</v>
      </c>
      <c r="D174" s="152">
        <f t="shared" si="16"/>
        <v>13.341680672268918</v>
      </c>
      <c r="E174" s="153">
        <f t="shared" si="57"/>
        <v>67.855408068796365</v>
      </c>
      <c r="F174" s="154">
        <f t="shared" si="65"/>
        <v>28.707680678381035</v>
      </c>
      <c r="G174" s="155">
        <f t="shared" si="79"/>
        <v>65.422254620638583</v>
      </c>
      <c r="H174" s="155">
        <f t="shared" si="66"/>
        <v>14.888267749279876</v>
      </c>
      <c r="I174" s="206">
        <f t="shared" si="67"/>
        <v>65.422254620638583</v>
      </c>
      <c r="J174" s="206">
        <f t="shared" si="59"/>
        <v>27.678283107587614</v>
      </c>
      <c r="K174" s="155">
        <f t="shared" si="68"/>
        <v>67.349496964769543</v>
      </c>
      <c r="L174" s="155">
        <f t="shared" si="69"/>
        <v>8.9242188492596295</v>
      </c>
      <c r="M174" s="208">
        <f t="shared" si="70"/>
        <v>67.349496964769543</v>
      </c>
      <c r="N174" s="208">
        <f t="shared" si="60"/>
        <v>28.493644172826102</v>
      </c>
      <c r="O174" s="155">
        <f t="shared" si="71"/>
        <v>67.065638632362578</v>
      </c>
      <c r="P174" s="155">
        <f t="shared" si="72"/>
        <v>8.5435897936578105</v>
      </c>
      <c r="Q174" s="208">
        <f t="shared" si="73"/>
        <v>67.065638632362578</v>
      </c>
      <c r="R174" s="208">
        <f t="shared" si="61"/>
        <v>28.373551838308344</v>
      </c>
      <c r="S174" s="155">
        <f t="shared" si="74"/>
        <v>65.790122898531038</v>
      </c>
      <c r="T174" s="155">
        <f t="shared" si="75"/>
        <v>8.4122247674121713</v>
      </c>
      <c r="U174" s="208">
        <f t="shared" si="76"/>
        <v>65.790122898531038</v>
      </c>
      <c r="V174" s="208">
        <f t="shared" si="62"/>
        <v>27.833917645113871</v>
      </c>
      <c r="W174" s="155">
        <f t="shared" si="77"/>
        <v>65.422254620638583</v>
      </c>
      <c r="X174" s="155">
        <f t="shared" si="54"/>
        <v>8.4110844874084876</v>
      </c>
      <c r="Y174" s="208">
        <f t="shared" si="78"/>
        <v>65.422254620638583</v>
      </c>
      <c r="Z174" s="208">
        <f t="shared" si="63"/>
        <v>27.678283107587614</v>
      </c>
    </row>
    <row r="175" spans="1:26" s="108" customFormat="1">
      <c r="A175" s="150">
        <v>2</v>
      </c>
      <c r="B175" s="151">
        <f t="shared" si="64"/>
        <v>1.8874606467472468</v>
      </c>
      <c r="C175" s="152">
        <f t="shared" si="56"/>
        <v>12.478151260504207</v>
      </c>
      <c r="D175" s="152">
        <f t="shared" si="16"/>
        <v>12.778151260504208</v>
      </c>
      <c r="E175" s="153">
        <f t="shared" si="57"/>
        <v>70.553260192310503</v>
      </c>
      <c r="F175" s="154">
        <f t="shared" si="65"/>
        <v>30.161583864325813</v>
      </c>
      <c r="G175" s="155">
        <f t="shared" si="79"/>
        <v>67.926526648872468</v>
      </c>
      <c r="H175" s="155">
        <f t="shared" si="66"/>
        <v>14.942566391813813</v>
      </c>
      <c r="I175" s="206">
        <f t="shared" si="67"/>
        <v>66.922908272828124</v>
      </c>
      <c r="J175" s="206">
        <f t="shared" si="59"/>
        <v>28.609605067342908</v>
      </c>
      <c r="K175" s="155">
        <f t="shared" si="68"/>
        <v>70.006482568951654</v>
      </c>
      <c r="L175" s="155">
        <f t="shared" si="69"/>
        <v>8.9515456170708276</v>
      </c>
      <c r="M175" s="208">
        <f t="shared" si="70"/>
        <v>70.006482568951654</v>
      </c>
      <c r="N175" s="208">
        <f t="shared" si="60"/>
        <v>29.927835925575394</v>
      </c>
      <c r="O175" s="155">
        <f t="shared" si="71"/>
        <v>69.699836611549699</v>
      </c>
      <c r="P175" s="155">
        <f t="shared" si="72"/>
        <v>8.5689291601736475</v>
      </c>
      <c r="Q175" s="208">
        <f t="shared" si="73"/>
        <v>69.699836611549699</v>
      </c>
      <c r="R175" s="208">
        <f t="shared" si="61"/>
        <v>29.796744495702058</v>
      </c>
      <c r="S175" s="155">
        <f t="shared" si="74"/>
        <v>68.323182284303002</v>
      </c>
      <c r="T175" s="155">
        <f t="shared" si="75"/>
        <v>8.4366324682116076</v>
      </c>
      <c r="U175" s="208">
        <f t="shared" si="76"/>
        <v>68.323182284303002</v>
      </c>
      <c r="V175" s="208">
        <f t="shared" si="62"/>
        <v>29.208223499928657</v>
      </c>
      <c r="W175" s="155">
        <f t="shared" si="77"/>
        <v>67.926526648872468</v>
      </c>
      <c r="X175" s="155">
        <f t="shared" si="54"/>
        <v>8.435486234395615</v>
      </c>
      <c r="Y175" s="208">
        <f t="shared" si="78"/>
        <v>67.926526648872468</v>
      </c>
      <c r="Z175" s="208">
        <f t="shared" si="63"/>
        <v>29.038652849604556</v>
      </c>
    </row>
    <row r="176" spans="1:26" s="108" customFormat="1">
      <c r="A176" s="150">
        <v>2.0099999999999998</v>
      </c>
      <c r="B176" s="151">
        <f t="shared" si="64"/>
        <v>1.8972645683158742</v>
      </c>
      <c r="C176" s="152">
        <f t="shared" si="56"/>
        <v>11.914621848739515</v>
      </c>
      <c r="D176" s="152">
        <f t="shared" si="16"/>
        <v>12.214621848739515</v>
      </c>
      <c r="E176" s="153">
        <f t="shared" si="57"/>
        <v>73.474521741631193</v>
      </c>
      <c r="F176" s="154">
        <f t="shared" si="65"/>
        <v>31.737579844165246</v>
      </c>
      <c r="G176" s="155">
        <f t="shared" si="79"/>
        <v>70.630149582300476</v>
      </c>
      <c r="H176" s="155">
        <f t="shared" si="66"/>
        <v>14.996865034347747</v>
      </c>
      <c r="I176" s="206">
        <f t="shared" si="67"/>
        <v>66.680602759954937</v>
      </c>
      <c r="J176" s="206">
        <f t="shared" si="59"/>
        <v>28.802922482339007</v>
      </c>
      <c r="K176" s="155">
        <f t="shared" si="68"/>
        <v>72.88171824110465</v>
      </c>
      <c r="L176" s="155">
        <f t="shared" si="69"/>
        <v>8.978872384882024</v>
      </c>
      <c r="M176" s="208">
        <f t="shared" si="70"/>
        <v>72.88171824110465</v>
      </c>
      <c r="N176" s="208">
        <f t="shared" si="60"/>
        <v>31.481516272958608</v>
      </c>
      <c r="O176" s="155">
        <f t="shared" si="71"/>
        <v>72.549426297742158</v>
      </c>
      <c r="P176" s="155">
        <f t="shared" si="72"/>
        <v>8.5942685266894845</v>
      </c>
      <c r="Q176" s="208">
        <f t="shared" si="73"/>
        <v>72.549426297742158</v>
      </c>
      <c r="R176" s="208">
        <f t="shared" si="61"/>
        <v>31.337981591356669</v>
      </c>
      <c r="S176" s="155">
        <f t="shared" si="74"/>
        <v>71.059108812352306</v>
      </c>
      <c r="T176" s="155">
        <f t="shared" si="75"/>
        <v>8.4610401690110439</v>
      </c>
      <c r="U176" s="208">
        <f t="shared" si="76"/>
        <v>71.059108812352306</v>
      </c>
      <c r="V176" s="208">
        <f t="shared" si="62"/>
        <v>30.694233676235282</v>
      </c>
      <c r="W176" s="155">
        <f t="shared" si="77"/>
        <v>70.630149582300476</v>
      </c>
      <c r="X176" s="155">
        <f t="shared" si="54"/>
        <v>8.4598879813827423</v>
      </c>
      <c r="Y176" s="208">
        <f t="shared" si="78"/>
        <v>70.630149582300476</v>
      </c>
      <c r="Z176" s="208">
        <f t="shared" si="63"/>
        <v>30.508943217842987</v>
      </c>
    </row>
    <row r="177" spans="1:26" s="108" customFormat="1">
      <c r="A177" s="150">
        <v>2.02</v>
      </c>
      <c r="B177" s="151">
        <f t="shared" si="64"/>
        <v>1.9070684898845018</v>
      </c>
      <c r="C177" s="152">
        <f t="shared" si="56"/>
        <v>11.351092436974794</v>
      </c>
      <c r="D177" s="152">
        <f t="shared" si="16"/>
        <v>11.651092436974794</v>
      </c>
      <c r="E177" s="153">
        <f t="shared" si="57"/>
        <v>76.6481422101254</v>
      </c>
      <c r="F177" s="154">
        <f t="shared" si="65"/>
        <v>33.451489456766112</v>
      </c>
      <c r="G177" s="155">
        <f t="shared" si="79"/>
        <v>73.557913930776579</v>
      </c>
      <c r="H177" s="155">
        <f t="shared" si="66"/>
        <v>15.051163676881686</v>
      </c>
      <c r="I177" s="206">
        <f t="shared" si="67"/>
        <v>66.440045531893446</v>
      </c>
      <c r="J177" s="206">
        <f t="shared" si="59"/>
        <v>28.99637771420889</v>
      </c>
      <c r="K177" s="155">
        <f t="shared" si="68"/>
        <v>76.003246975060463</v>
      </c>
      <c r="L177" s="155">
        <f t="shared" si="69"/>
        <v>9.0061991526932221</v>
      </c>
      <c r="M177" s="208">
        <f t="shared" si="70"/>
        <v>76.003246975060463</v>
      </c>
      <c r="N177" s="208">
        <f t="shared" si="60"/>
        <v>33.170038327822198</v>
      </c>
      <c r="O177" s="155">
        <f t="shared" si="71"/>
        <v>75.641951851882169</v>
      </c>
      <c r="P177" s="155">
        <f t="shared" si="72"/>
        <v>8.6196078932053233</v>
      </c>
      <c r="Q177" s="208">
        <f t="shared" si="73"/>
        <v>75.641951851882169</v>
      </c>
      <c r="R177" s="208">
        <f t="shared" si="61"/>
        <v>33.012358576489845</v>
      </c>
      <c r="S177" s="155">
        <f t="shared" si="74"/>
        <v>74.023289865784008</v>
      </c>
      <c r="T177" s="155">
        <f t="shared" si="75"/>
        <v>8.485447869810482</v>
      </c>
      <c r="U177" s="208">
        <f t="shared" si="76"/>
        <v>74.023289865784008</v>
      </c>
      <c r="V177" s="208">
        <f t="shared" si="62"/>
        <v>32.305927177101303</v>
      </c>
      <c r="W177" s="155">
        <f t="shared" si="77"/>
        <v>73.557913930776579</v>
      </c>
      <c r="X177" s="155">
        <f t="shared" si="54"/>
        <v>8.4842897283698715</v>
      </c>
      <c r="Y177" s="208">
        <f t="shared" si="78"/>
        <v>73.557913930776579</v>
      </c>
      <c r="Z177" s="208">
        <f t="shared" si="63"/>
        <v>32.102823517515446</v>
      </c>
    </row>
    <row r="178" spans="1:26" s="108" customFormat="1">
      <c r="A178" s="150">
        <v>2.0299999999999998</v>
      </c>
      <c r="B178" s="151">
        <f t="shared" si="64"/>
        <v>1.9168724114531288</v>
      </c>
      <c r="C178" s="152">
        <f t="shared" si="56"/>
        <v>10.787563025210096</v>
      </c>
      <c r="D178" s="152">
        <f t="shared" si="16"/>
        <v>11.087563025210097</v>
      </c>
      <c r="E178" s="153">
        <f t="shared" si="57"/>
        <v>80.108298603355721</v>
      </c>
      <c r="F178" s="154">
        <f t="shared" si="65"/>
        <v>35.321990365709645</v>
      </c>
      <c r="G178" s="155">
        <f t="shared" si="79"/>
        <v>76.738898429491059</v>
      </c>
      <c r="H178" s="155">
        <f t="shared" si="66"/>
        <v>15.10546231941562</v>
      </c>
      <c r="I178" s="206">
        <f t="shared" si="67"/>
        <v>66.201217735299792</v>
      </c>
      <c r="J178" s="206">
        <f t="shared" si="59"/>
        <v>29.18996927674797</v>
      </c>
      <c r="K178" s="155">
        <f t="shared" si="68"/>
        <v>79.404131075042287</v>
      </c>
      <c r="L178" s="155">
        <f t="shared" si="69"/>
        <v>9.0335259205044167</v>
      </c>
      <c r="M178" s="208">
        <f t="shared" si="70"/>
        <v>79.404131075042287</v>
      </c>
      <c r="N178" s="208">
        <f t="shared" si="60"/>
        <v>35.011503199154205</v>
      </c>
      <c r="O178" s="155">
        <f t="shared" si="71"/>
        <v>79.009862981843014</v>
      </c>
      <c r="P178" s="155">
        <f t="shared" si="72"/>
        <v>8.6449472597211585</v>
      </c>
      <c r="Q178" s="208">
        <f t="shared" si="73"/>
        <v>79.009862981843014</v>
      </c>
      <c r="R178" s="208">
        <f t="shared" si="61"/>
        <v>34.837659364841286</v>
      </c>
      <c r="S178" s="155">
        <f t="shared" si="74"/>
        <v>77.245533292043987</v>
      </c>
      <c r="T178" s="155">
        <f t="shared" si="75"/>
        <v>8.5098555706099184</v>
      </c>
      <c r="U178" s="208">
        <f t="shared" si="76"/>
        <v>77.245533292043987</v>
      </c>
      <c r="V178" s="208">
        <f t="shared" si="62"/>
        <v>34.059717036873707</v>
      </c>
      <c r="W178" s="155">
        <f t="shared" si="77"/>
        <v>76.738898429491059</v>
      </c>
      <c r="X178" s="155">
        <f t="shared" si="54"/>
        <v>8.5086914753569989</v>
      </c>
      <c r="Y178" s="208">
        <f t="shared" si="78"/>
        <v>76.738898429491059</v>
      </c>
      <c r="Z178" s="208">
        <f t="shared" si="63"/>
        <v>33.836327549816524</v>
      </c>
    </row>
    <row r="179" spans="1:26" s="108" customFormat="1">
      <c r="A179" s="150">
        <v>2.04</v>
      </c>
      <c r="B179" s="151">
        <f t="shared" si="64"/>
        <v>1.9266763330217564</v>
      </c>
      <c r="C179" s="152">
        <f t="shared" si="56"/>
        <v>10.224033613445378</v>
      </c>
      <c r="D179" s="152">
        <f t="shared" si="16"/>
        <v>10.524033613445379</v>
      </c>
      <c r="E179" s="153">
        <f t="shared" si="57"/>
        <v>83.895631161689735</v>
      </c>
      <c r="F179" s="154">
        <f t="shared" si="65"/>
        <v>37.371292379168061</v>
      </c>
      <c r="G179" s="155">
        <f t="shared" si="79"/>
        <v>80.207439161838451</v>
      </c>
      <c r="H179" s="155">
        <f t="shared" si="66"/>
        <v>15.159760961949559</v>
      </c>
      <c r="I179" s="206">
        <f t="shared" si="67"/>
        <v>65.964100786942694</v>
      </c>
      <c r="J179" s="206">
        <f t="shared" si="59"/>
        <v>29.383695705044559</v>
      </c>
      <c r="K179" s="155">
        <f t="shared" si="68"/>
        <v>83.123627743637471</v>
      </c>
      <c r="L179" s="155">
        <f t="shared" si="69"/>
        <v>9.0608526883156149</v>
      </c>
      <c r="M179" s="208">
        <f t="shared" si="70"/>
        <v>83.123627743637471</v>
      </c>
      <c r="N179" s="208">
        <f t="shared" si="60"/>
        <v>37.02740360862952</v>
      </c>
      <c r="O179" s="155">
        <f t="shared" si="71"/>
        <v>82.691657914785381</v>
      </c>
      <c r="P179" s="155">
        <f t="shared" si="72"/>
        <v>8.6702866262369955</v>
      </c>
      <c r="Q179" s="208">
        <f t="shared" si="73"/>
        <v>82.691657914785381</v>
      </c>
      <c r="R179" s="208">
        <f t="shared" si="61"/>
        <v>36.834982733436412</v>
      </c>
      <c r="S179" s="155">
        <f t="shared" si="74"/>
        <v>80.761073306990667</v>
      </c>
      <c r="T179" s="155">
        <f t="shared" si="75"/>
        <v>8.5342632714093565</v>
      </c>
      <c r="U179" s="208">
        <f t="shared" si="76"/>
        <v>80.761073306990667</v>
      </c>
      <c r="V179" s="208">
        <f t="shared" si="62"/>
        <v>35.975004200089806</v>
      </c>
      <c r="W179" s="155">
        <f t="shared" si="77"/>
        <v>80.207439161838451</v>
      </c>
      <c r="X179" s="155">
        <f t="shared" si="54"/>
        <v>8.533093222344128</v>
      </c>
      <c r="Y179" s="208">
        <f t="shared" si="78"/>
        <v>80.207439161838451</v>
      </c>
      <c r="Z179" s="208">
        <f t="shared" si="63"/>
        <v>35.728387979160509</v>
      </c>
    </row>
    <row r="180" spans="1:26" s="108" customFormat="1">
      <c r="A180" s="150">
        <v>2.0499999999999998</v>
      </c>
      <c r="B180" s="151">
        <f t="shared" si="64"/>
        <v>1.9364802545903839</v>
      </c>
      <c r="C180" s="152">
        <f t="shared" si="56"/>
        <v>9.6605042016806877</v>
      </c>
      <c r="D180" s="152">
        <f t="shared" si="16"/>
        <v>9.9605042016806884</v>
      </c>
      <c r="E180" s="153">
        <f t="shared" si="57"/>
        <v>88.058847010047828</v>
      </c>
      <c r="F180" s="154">
        <f t="shared" si="65"/>
        <v>39.626013841209165</v>
      </c>
      <c r="G180" s="155">
        <f t="shared" si="79"/>
        <v>84.004373945752349</v>
      </c>
      <c r="H180" s="155">
        <f t="shared" si="66"/>
        <v>15.214059604483493</v>
      </c>
      <c r="I180" s="206">
        <f t="shared" si="67"/>
        <v>65.728676368883555</v>
      </c>
      <c r="J180" s="206">
        <f t="shared" si="59"/>
        <v>29.577555555099956</v>
      </c>
      <c r="K180" s="155">
        <f t="shared" si="68"/>
        <v>87.208711313092522</v>
      </c>
      <c r="L180" s="155">
        <f t="shared" si="69"/>
        <v>9.0881794561268112</v>
      </c>
      <c r="M180" s="208">
        <f t="shared" si="70"/>
        <v>87.208711313092522</v>
      </c>
      <c r="N180" s="208">
        <f t="shared" si="60"/>
        <v>39.243457289104711</v>
      </c>
      <c r="O180" s="155">
        <f t="shared" si="71"/>
        <v>86.733361558500292</v>
      </c>
      <c r="P180" s="155">
        <f t="shared" si="72"/>
        <v>8.6956259927528325</v>
      </c>
      <c r="Q180" s="208">
        <f t="shared" si="73"/>
        <v>86.733361558500292</v>
      </c>
      <c r="R180" s="208">
        <f t="shared" si="61"/>
        <v>39.029552422138451</v>
      </c>
      <c r="S180" s="155">
        <f t="shared" si="74"/>
        <v>84.611864175690584</v>
      </c>
      <c r="T180" s="155">
        <f t="shared" si="75"/>
        <v>8.558670972208791</v>
      </c>
      <c r="U180" s="208">
        <f t="shared" si="76"/>
        <v>84.611864175690584</v>
      </c>
      <c r="V180" s="208">
        <f t="shared" si="62"/>
        <v>38.074889858299585</v>
      </c>
      <c r="W180" s="155">
        <f t="shared" si="77"/>
        <v>84.004373945752349</v>
      </c>
      <c r="X180" s="155">
        <f t="shared" si="54"/>
        <v>8.5574949693312536</v>
      </c>
      <c r="Y180" s="208">
        <f t="shared" si="78"/>
        <v>84.004373945752349</v>
      </c>
      <c r="Z180" s="208">
        <f t="shared" si="63"/>
        <v>37.801522478674627</v>
      </c>
    </row>
    <row r="181" spans="1:26" s="108" customFormat="1">
      <c r="A181" s="150">
        <v>2.06</v>
      </c>
      <c r="B181" s="151">
        <f t="shared" si="64"/>
        <v>1.9462841761590115</v>
      </c>
      <c r="C181" s="152">
        <f t="shared" si="56"/>
        <v>9.0969747899159721</v>
      </c>
      <c r="D181" s="152">
        <f t="shared" si="16"/>
        <v>9.3969747899159728</v>
      </c>
      <c r="E181" s="153">
        <f t="shared" si="57"/>
        <v>92.656826213608824</v>
      </c>
      <c r="F181" s="154">
        <f t="shared" si="65"/>
        <v>42.118332586928418</v>
      </c>
      <c r="G181" s="155">
        <f t="shared" si="79"/>
        <v>88.178657730845416</v>
      </c>
      <c r="H181" s="155">
        <f t="shared" si="66"/>
        <v>15.268358247017431</v>
      </c>
      <c r="I181" s="206">
        <f t="shared" si="67"/>
        <v>65.494926423758955</v>
      </c>
      <c r="J181" s="206">
        <f t="shared" si="59"/>
        <v>29.771547403456498</v>
      </c>
      <c r="K181" s="155">
        <f t="shared" si="68"/>
        <v>91.716067533032231</v>
      </c>
      <c r="L181" s="155">
        <f t="shared" si="69"/>
        <v>9.1155062239380094</v>
      </c>
      <c r="M181" s="208">
        <f t="shared" si="70"/>
        <v>91.716067533032231</v>
      </c>
      <c r="N181" s="208">
        <f t="shared" si="60"/>
        <v>41.690698826829426</v>
      </c>
      <c r="O181" s="155">
        <f t="shared" si="71"/>
        <v>91.190459425772545</v>
      </c>
      <c r="P181" s="155">
        <f t="shared" si="72"/>
        <v>8.7209653592686713</v>
      </c>
      <c r="Q181" s="208">
        <f t="shared" si="73"/>
        <v>91.190459425772545</v>
      </c>
      <c r="R181" s="208">
        <f t="shared" si="61"/>
        <v>41.451777012036054</v>
      </c>
      <c r="S181" s="155">
        <f t="shared" si="74"/>
        <v>88.848262530005158</v>
      </c>
      <c r="T181" s="155">
        <f t="shared" si="75"/>
        <v>8.5830786730082309</v>
      </c>
      <c r="U181" s="208">
        <f t="shared" si="76"/>
        <v>88.848262530005158</v>
      </c>
      <c r="V181" s="208">
        <f t="shared" si="62"/>
        <v>40.387101781173101</v>
      </c>
      <c r="W181" s="155">
        <f t="shared" si="77"/>
        <v>88.178657730845416</v>
      </c>
      <c r="X181" s="155">
        <f t="shared" si="54"/>
        <v>8.5818967163183828</v>
      </c>
      <c r="Y181" s="208">
        <f t="shared" si="78"/>
        <v>88.178657730845416</v>
      </c>
      <c r="Z181" s="208">
        <f t="shared" si="63"/>
        <v>40.082724448327745</v>
      </c>
    </row>
    <row r="182" spans="1:26" s="108" customFormat="1">
      <c r="A182" s="150">
        <v>2.0699999999999998</v>
      </c>
      <c r="B182" s="151">
        <f t="shared" si="64"/>
        <v>1.9560880977276389</v>
      </c>
      <c r="C182" s="152">
        <f t="shared" si="56"/>
        <v>8.5334453781512796</v>
      </c>
      <c r="D182" s="152">
        <f t="shared" si="16"/>
        <v>8.8334453781512803</v>
      </c>
      <c r="E182" s="153">
        <f t="shared" si="57"/>
        <v>97.761423987333501</v>
      </c>
      <c r="F182" s="154">
        <f t="shared" si="65"/>
        <v>44.887517344217649</v>
      </c>
      <c r="G182" s="155">
        <f t="shared" si="79"/>
        <v>92.7894848064049</v>
      </c>
      <c r="H182" s="155">
        <f t="shared" si="66"/>
        <v>15.322656889551368</v>
      </c>
      <c r="I182" s="206">
        <f t="shared" si="67"/>
        <v>65.262833150163885</v>
      </c>
      <c r="J182" s="206">
        <f t="shared" si="59"/>
        <v>29.965669846833695</v>
      </c>
      <c r="K182" s="155">
        <f t="shared" si="68"/>
        <v>96.714740009411429</v>
      </c>
      <c r="L182" s="155">
        <f t="shared" si="69"/>
        <v>9.1428329917492039</v>
      </c>
      <c r="M182" s="208">
        <f t="shared" si="70"/>
        <v>96.714740009411429</v>
      </c>
      <c r="N182" s="208">
        <f t="shared" si="60"/>
        <v>44.406928546544457</v>
      </c>
      <c r="O182" s="155">
        <f t="shared" si="71"/>
        <v>96.130460150009412</v>
      </c>
      <c r="P182" s="155">
        <f t="shared" si="72"/>
        <v>8.7463047257845066</v>
      </c>
      <c r="Q182" s="208">
        <f t="shared" si="73"/>
        <v>96.130460150009412</v>
      </c>
      <c r="R182" s="208">
        <f t="shared" si="61"/>
        <v>44.138654300394123</v>
      </c>
      <c r="S182" s="155">
        <f t="shared" si="74"/>
        <v>93.531241711765645</v>
      </c>
      <c r="T182" s="155">
        <f t="shared" si="75"/>
        <v>8.6074863738076672</v>
      </c>
      <c r="U182" s="208">
        <f t="shared" si="76"/>
        <v>93.531241711765645</v>
      </c>
      <c r="V182" s="208">
        <f t="shared" si="62"/>
        <v>42.945213595774334</v>
      </c>
      <c r="W182" s="155">
        <f t="shared" si="77"/>
        <v>92.7894848064049</v>
      </c>
      <c r="X182" s="155">
        <f t="shared" si="54"/>
        <v>8.606298463305512</v>
      </c>
      <c r="Y182" s="208">
        <f t="shared" si="78"/>
        <v>92.7894848064049</v>
      </c>
      <c r="Z182" s="208">
        <f t="shared" si="63"/>
        <v>42.604633184845703</v>
      </c>
    </row>
    <row r="183" spans="1:26" s="108" customFormat="1">
      <c r="A183" s="150">
        <v>2.08</v>
      </c>
      <c r="B183" s="151">
        <f t="shared" si="64"/>
        <v>1.9658920192962666</v>
      </c>
      <c r="C183" s="152">
        <f t="shared" si="56"/>
        <v>7.9699159663865577</v>
      </c>
      <c r="D183" s="152">
        <f t="shared" si="16"/>
        <v>8.2699159663865576</v>
      </c>
      <c r="E183" s="153">
        <f t="shared" si="57"/>
        <v>103.46125317654224</v>
      </c>
      <c r="F183" s="154">
        <f t="shared" si="65"/>
        <v>47.981994851658079</v>
      </c>
      <c r="G183" s="155">
        <f t="shared" si="79"/>
        <v>97.909113562085039</v>
      </c>
      <c r="H183" s="155">
        <f t="shared" si="66"/>
        <v>15.376955532085306</v>
      </c>
      <c r="I183" s="206">
        <f t="shared" si="67"/>
        <v>65.032378998132387</v>
      </c>
      <c r="J183" s="206">
        <f t="shared" si="59"/>
        <v>30.159921501771922</v>
      </c>
      <c r="K183" s="155">
        <f t="shared" si="68"/>
        <v>102.28969193952193</v>
      </c>
      <c r="L183" s="155">
        <f t="shared" si="69"/>
        <v>9.1701597595604039</v>
      </c>
      <c r="M183" s="208">
        <f t="shared" si="70"/>
        <v>102.28969193952193</v>
      </c>
      <c r="N183" s="208">
        <f t="shared" si="60"/>
        <v>47.438662507256744</v>
      </c>
      <c r="O183" s="155">
        <f t="shared" si="71"/>
        <v>101.63633861038498</v>
      </c>
      <c r="P183" s="155">
        <f t="shared" si="72"/>
        <v>8.7716440923003454</v>
      </c>
      <c r="Q183" s="208">
        <f t="shared" si="73"/>
        <v>101.63633861038498</v>
      </c>
      <c r="R183" s="208">
        <f t="shared" si="61"/>
        <v>47.135658289615286</v>
      </c>
      <c r="S183" s="155">
        <f t="shared" si="74"/>
        <v>98.735345355878977</v>
      </c>
      <c r="T183" s="155">
        <f t="shared" si="75"/>
        <v>8.6318940746071053</v>
      </c>
      <c r="U183" s="208">
        <f t="shared" si="76"/>
        <v>98.735345355878977</v>
      </c>
      <c r="V183" s="208">
        <f t="shared" si="62"/>
        <v>45.790271112012825</v>
      </c>
      <c r="W183" s="155">
        <f t="shared" si="77"/>
        <v>97.909113562085039</v>
      </c>
      <c r="X183" s="155">
        <f t="shared" si="54"/>
        <v>8.6307002102926411</v>
      </c>
      <c r="Y183" s="208">
        <f t="shared" si="78"/>
        <v>97.909113562085039</v>
      </c>
      <c r="Z183" s="208">
        <f t="shared" si="63"/>
        <v>45.407091434027969</v>
      </c>
    </row>
    <row r="184" spans="1:26" s="108" customFormat="1">
      <c r="A184" s="150">
        <v>2.09</v>
      </c>
      <c r="B184" s="151">
        <f t="shared" si="64"/>
        <v>1.9756959408648935</v>
      </c>
      <c r="C184" s="152">
        <f t="shared" si="56"/>
        <v>7.4063865546218599</v>
      </c>
      <c r="D184" s="152">
        <f t="shared" si="16"/>
        <v>7.7063865546218597</v>
      </c>
      <c r="E184" s="153">
        <f t="shared" si="57"/>
        <v>109.86687185065799</v>
      </c>
      <c r="F184" s="154">
        <f t="shared" si="65"/>
        <v>51.462184867882151</v>
      </c>
      <c r="G184" s="155">
        <f t="shared" si="79"/>
        <v>103.62668098851675</v>
      </c>
      <c r="H184" s="155">
        <f t="shared" si="66"/>
        <v>15.431254174619239</v>
      </c>
      <c r="I184" s="206">
        <f t="shared" si="67"/>
        <v>64.803546664713963</v>
      </c>
      <c r="J184" s="206">
        <f t="shared" si="59"/>
        <v>30.354301004283712</v>
      </c>
      <c r="K184" s="155">
        <f t="shared" si="68"/>
        <v>108.54667505882031</v>
      </c>
      <c r="L184" s="155">
        <f t="shared" si="69"/>
        <v>9.1974865273715984</v>
      </c>
      <c r="M184" s="208">
        <f t="shared" si="70"/>
        <v>108.54667505882031</v>
      </c>
      <c r="N184" s="208">
        <f t="shared" si="60"/>
        <v>50.843798176615586</v>
      </c>
      <c r="O184" s="155">
        <f t="shared" si="71"/>
        <v>107.811234175286</v>
      </c>
      <c r="P184" s="155">
        <f t="shared" si="72"/>
        <v>8.7969834588161806</v>
      </c>
      <c r="Q184" s="208">
        <f t="shared" si="73"/>
        <v>107.811234175286</v>
      </c>
      <c r="R184" s="208">
        <f t="shared" si="61"/>
        <v>50.499314038036609</v>
      </c>
      <c r="S184" s="155">
        <f t="shared" si="74"/>
        <v>104.55268509777957</v>
      </c>
      <c r="T184" s="155">
        <f t="shared" si="75"/>
        <v>8.6563017754065399</v>
      </c>
      <c r="U184" s="208">
        <f t="shared" si="76"/>
        <v>104.55268509777957</v>
      </c>
      <c r="V184" s="208">
        <f t="shared" si="62"/>
        <v>48.972993572158174</v>
      </c>
      <c r="W184" s="155">
        <f t="shared" si="77"/>
        <v>103.62668098851675</v>
      </c>
      <c r="X184" s="155">
        <f t="shared" si="54"/>
        <v>8.6551019572797667</v>
      </c>
      <c r="Y184" s="208">
        <f t="shared" si="78"/>
        <v>103.62668098851675</v>
      </c>
      <c r="Z184" s="208">
        <f t="shared" si="63"/>
        <v>48.53924867839185</v>
      </c>
    </row>
    <row r="185" spans="1:26" s="108" customFormat="1">
      <c r="A185" s="150">
        <v>2.1</v>
      </c>
      <c r="B185" s="151">
        <f t="shared" si="64"/>
        <v>1.9854998624335212</v>
      </c>
      <c r="C185" s="152">
        <f t="shared" si="56"/>
        <v>6.8428571428571372</v>
      </c>
      <c r="D185" s="152">
        <f t="shared" si="16"/>
        <v>7.142857142857137</v>
      </c>
      <c r="E185" s="153">
        <f t="shared" si="57"/>
        <v>117.11802516701381</v>
      </c>
      <c r="F185" s="154">
        <f t="shared" si="65"/>
        <v>55.404457835320635</v>
      </c>
      <c r="G185" s="155">
        <f t="shared" si="79"/>
        <v>110.05343659208795</v>
      </c>
      <c r="H185" s="155">
        <f t="shared" si="66"/>
        <v>15.485552817153177</v>
      </c>
      <c r="I185" s="206">
        <f t="shared" si="67"/>
        <v>64.576319089642766</v>
      </c>
      <c r="J185" s="206">
        <f t="shared" si="59"/>
        <v>30.548807009512419</v>
      </c>
      <c r="K185" s="155">
        <f t="shared" si="68"/>
        <v>115.61900199661895</v>
      </c>
      <c r="L185" s="155">
        <f t="shared" si="69"/>
        <v>9.2248132951827948</v>
      </c>
      <c r="M185" s="208">
        <f t="shared" si="70"/>
        <v>108.4032779852792</v>
      </c>
      <c r="N185" s="208">
        <f t="shared" si="60"/>
        <v>51.281814526680861</v>
      </c>
      <c r="O185" s="155">
        <f t="shared" si="71"/>
        <v>114.78497237279383</v>
      </c>
      <c r="P185" s="155">
        <f t="shared" si="72"/>
        <v>8.8223228253320194</v>
      </c>
      <c r="Q185" s="208">
        <f t="shared" si="73"/>
        <v>113.34883338531267</v>
      </c>
      <c r="R185" s="208">
        <f t="shared" si="61"/>
        <v>53.62138450527857</v>
      </c>
      <c r="S185" s="155">
        <f t="shared" si="74"/>
        <v>111.09843999342985</v>
      </c>
      <c r="T185" s="155">
        <f t="shared" si="75"/>
        <v>8.680709476205978</v>
      </c>
      <c r="U185" s="208">
        <f t="shared" si="76"/>
        <v>111.09843999342985</v>
      </c>
      <c r="V185" s="208">
        <f t="shared" si="62"/>
        <v>52.556801785277472</v>
      </c>
      <c r="W185" s="155">
        <f t="shared" si="77"/>
        <v>110.05343659208795</v>
      </c>
      <c r="X185" s="155">
        <f t="shared" si="54"/>
        <v>8.6795037042668959</v>
      </c>
      <c r="Y185" s="208">
        <f t="shared" si="78"/>
        <v>110.05343659208795</v>
      </c>
      <c r="Z185" s="208">
        <f t="shared" si="63"/>
        <v>52.062447079374181</v>
      </c>
    </row>
    <row r="186" spans="1:26" s="108" customFormat="1">
      <c r="A186" s="150">
        <v>2.12</v>
      </c>
      <c r="B186" s="151">
        <f t="shared" si="64"/>
        <v>2.0051077055707762</v>
      </c>
      <c r="C186" s="152">
        <f t="shared" si="56"/>
        <v>6.8428571428571434</v>
      </c>
      <c r="D186" s="152">
        <f t="shared" si="16"/>
        <v>7.1428571428571432</v>
      </c>
      <c r="E186" s="153">
        <f t="shared" si="57"/>
        <v>117.11802516701371</v>
      </c>
      <c r="F186" s="154">
        <f t="shared" si="65"/>
        <v>56.504156841394014</v>
      </c>
      <c r="G186" s="155">
        <f t="shared" si="79"/>
        <v>110.05343659208785</v>
      </c>
      <c r="H186" s="155">
        <f t="shared" si="66"/>
        <v>15.594150102221052</v>
      </c>
      <c r="I186" s="206">
        <f t="shared" si="67"/>
        <v>64.126611161551637</v>
      </c>
      <c r="J186" s="206">
        <f t="shared" si="59"/>
        <v>30.938193242349325</v>
      </c>
      <c r="K186" s="155">
        <f t="shared" si="68"/>
        <v>115.61900199661888</v>
      </c>
      <c r="L186" s="155">
        <f t="shared" si="69"/>
        <v>9.2794668308051893</v>
      </c>
      <c r="M186" s="208">
        <f t="shared" si="70"/>
        <v>107.76481216359161</v>
      </c>
      <c r="N186" s="208">
        <f t="shared" si="60"/>
        <v>51.99165405830253</v>
      </c>
      <c r="O186" s="155">
        <f t="shared" si="71"/>
        <v>114.78497237279373</v>
      </c>
      <c r="P186" s="155">
        <f t="shared" si="72"/>
        <v>8.8730015583636934</v>
      </c>
      <c r="Q186" s="208">
        <f t="shared" si="73"/>
        <v>112.70143405501825</v>
      </c>
      <c r="R186" s="208">
        <f t="shared" si="61"/>
        <v>54.373351130312187</v>
      </c>
      <c r="S186" s="155">
        <f t="shared" si="74"/>
        <v>111.09843999342976</v>
      </c>
      <c r="T186" s="155">
        <f t="shared" si="75"/>
        <v>8.7295248778048524</v>
      </c>
      <c r="U186" s="208">
        <f t="shared" si="76"/>
        <v>111.09843999342976</v>
      </c>
      <c r="V186" s="208">
        <f t="shared" si="62"/>
        <v>53.599978903939217</v>
      </c>
      <c r="W186" s="155">
        <f t="shared" si="77"/>
        <v>110.05343659208785</v>
      </c>
      <c r="X186" s="155">
        <f t="shared" si="54"/>
        <v>8.7283071982411524</v>
      </c>
      <c r="Y186" s="208">
        <f t="shared" si="78"/>
        <v>110.05343659208785</v>
      </c>
      <c r="Z186" s="208">
        <f t="shared" si="63"/>
        <v>53.09581196631359</v>
      </c>
    </row>
    <row r="187" spans="1:26" s="108" customFormat="1">
      <c r="A187" s="150">
        <v>2.14</v>
      </c>
      <c r="B187" s="151">
        <f t="shared" si="64"/>
        <v>2.0247155487080315</v>
      </c>
      <c r="C187" s="152">
        <f t="shared" si="56"/>
        <v>6.8428571428571434</v>
      </c>
      <c r="D187" s="152">
        <f t="shared" si="16"/>
        <v>7.1428571428571432</v>
      </c>
      <c r="E187" s="153">
        <f t="shared" si="57"/>
        <v>117.11802516701371</v>
      </c>
      <c r="F187" s="154">
        <f t="shared" si="65"/>
        <v>57.61466258566049</v>
      </c>
      <c r="G187" s="155">
        <f t="shared" si="79"/>
        <v>110.05343659208785</v>
      </c>
      <c r="H187" s="155">
        <f t="shared" si="66"/>
        <v>15.702747387288928</v>
      </c>
      <c r="I187" s="206">
        <f t="shared" si="67"/>
        <v>63.683123426508203</v>
      </c>
      <c r="J187" s="206">
        <f t="shared" si="59"/>
        <v>31.32806981151726</v>
      </c>
      <c r="K187" s="155">
        <f t="shared" si="68"/>
        <v>115.61900199661888</v>
      </c>
      <c r="L187" s="155">
        <f t="shared" si="69"/>
        <v>9.3341203664275856</v>
      </c>
      <c r="M187" s="208">
        <f t="shared" si="70"/>
        <v>107.13382308596974</v>
      </c>
      <c r="N187" s="208">
        <f t="shared" si="60"/>
        <v>52.7030664990112</v>
      </c>
      <c r="O187" s="155">
        <f t="shared" si="71"/>
        <v>114.78497237279373</v>
      </c>
      <c r="P187" s="155">
        <f t="shared" si="72"/>
        <v>8.9236802913953674</v>
      </c>
      <c r="Q187" s="208">
        <f t="shared" si="73"/>
        <v>112.0613880535643</v>
      </c>
      <c r="R187" s="208">
        <f t="shared" si="61"/>
        <v>55.127116875304957</v>
      </c>
      <c r="S187" s="155">
        <f t="shared" si="74"/>
        <v>111.09843999342976</v>
      </c>
      <c r="T187" s="155">
        <f t="shared" si="75"/>
        <v>8.7783402794037286</v>
      </c>
      <c r="U187" s="208">
        <f t="shared" si="76"/>
        <v>111.09843999342976</v>
      </c>
      <c r="V187" s="208">
        <f t="shared" si="62"/>
        <v>54.653407320408931</v>
      </c>
      <c r="W187" s="155">
        <f>IF(1000/($D187+$I$10+$I$13)&lt;$J$13,$J$13,1000/($D187+$I$10+$I$13))</f>
        <v>110.05343659208785</v>
      </c>
      <c r="X187" s="155">
        <f t="shared" si="54"/>
        <v>8.7771106922154107</v>
      </c>
      <c r="Y187" s="208">
        <f t="shared" si="78"/>
        <v>110.05343659208785</v>
      </c>
      <c r="Z187" s="208">
        <f t="shared" si="63"/>
        <v>54.139331726295012</v>
      </c>
    </row>
    <row r="188" spans="1:26" s="108" customFormat="1">
      <c r="A188" s="150">
        <v>2.16</v>
      </c>
      <c r="B188" s="151">
        <f t="shared" si="64"/>
        <v>2.0443233918452859</v>
      </c>
      <c r="C188" s="152">
        <f t="shared" si="56"/>
        <v>6.8428571428571434</v>
      </c>
      <c r="D188" s="152">
        <f t="shared" si="16"/>
        <v>7.1428571428571432</v>
      </c>
      <c r="E188" s="153">
        <f t="shared" si="57"/>
        <v>117.11802516701371</v>
      </c>
      <c r="F188" s="154">
        <f t="shared" si="65"/>
        <v>58.735975068119956</v>
      </c>
      <c r="G188" s="155">
        <f t="shared" si="79"/>
        <v>110.05343659208785</v>
      </c>
      <c r="H188" s="155">
        <f t="shared" si="66"/>
        <v>15.811344672356798</v>
      </c>
      <c r="I188" s="206">
        <f t="shared" si="67"/>
        <v>63.245727717789521</v>
      </c>
      <c r="J188" s="206">
        <f t="shared" si="59"/>
        <v>31.718426613664089</v>
      </c>
      <c r="K188" s="155">
        <f t="shared" si="68"/>
        <v>115.61900199661888</v>
      </c>
      <c r="L188" s="155">
        <f t="shared" si="69"/>
        <v>9.3887739020499783</v>
      </c>
      <c r="M188" s="208">
        <f t="shared" si="70"/>
        <v>106.51018018248969</v>
      </c>
      <c r="N188" s="208">
        <f t="shared" si="60"/>
        <v>53.416024380350244</v>
      </c>
      <c r="O188" s="155">
        <f t="shared" si="71"/>
        <v>114.78497237279373</v>
      </c>
      <c r="P188" s="155">
        <f t="shared" si="72"/>
        <v>8.9743590244270415</v>
      </c>
      <c r="Q188" s="208">
        <f t="shared" si="73"/>
        <v>111.42857080690996</v>
      </c>
      <c r="R188" s="208">
        <f t="shared" si="61"/>
        <v>55.882651261048267</v>
      </c>
      <c r="S188" s="155">
        <f t="shared" si="74"/>
        <v>111.09843999342976</v>
      </c>
      <c r="T188" s="155">
        <f t="shared" si="75"/>
        <v>8.8271556810026013</v>
      </c>
      <c r="U188" s="208">
        <f t="shared" si="76"/>
        <v>111.09843999342976</v>
      </c>
      <c r="V188" s="208">
        <f t="shared" si="62"/>
        <v>55.717087034686536</v>
      </c>
      <c r="W188" s="155">
        <f t="shared" si="77"/>
        <v>110.05343659208785</v>
      </c>
      <c r="X188" s="155">
        <f t="shared" si="54"/>
        <v>8.8259141861896655</v>
      </c>
      <c r="Y188" s="208">
        <f t="shared" si="78"/>
        <v>110.05343659208785</v>
      </c>
      <c r="Z188" s="208">
        <f t="shared" si="63"/>
        <v>55.193006359318325</v>
      </c>
    </row>
    <row r="189" spans="1:26" s="108" customFormat="1">
      <c r="A189" s="150">
        <v>2.1800000000000002</v>
      </c>
      <c r="B189" s="151">
        <f t="shared" si="64"/>
        <v>2.0639312349825412</v>
      </c>
      <c r="C189" s="152">
        <f t="shared" si="56"/>
        <v>6.8428571428571434</v>
      </c>
      <c r="D189" s="152">
        <f t="shared" si="16"/>
        <v>7.1428571428571432</v>
      </c>
      <c r="E189" s="153">
        <f t="shared" si="57"/>
        <v>117.11802516701371</v>
      </c>
      <c r="F189" s="154">
        <f t="shared" si="65"/>
        <v>59.868094288772497</v>
      </c>
      <c r="G189" s="155">
        <f t="shared" si="79"/>
        <v>110.05343659208785</v>
      </c>
      <c r="H189" s="155">
        <f t="shared" si="66"/>
        <v>15.919941957424674</v>
      </c>
      <c r="I189" s="206">
        <f t="shared" si="67"/>
        <v>62.814299365810456</v>
      </c>
      <c r="J189" s="206">
        <f t="shared" si="59"/>
        <v>32.109253821116241</v>
      </c>
      <c r="K189" s="155">
        <f t="shared" si="68"/>
        <v>115.61900199661888</v>
      </c>
      <c r="L189" s="155">
        <f t="shared" si="69"/>
        <v>9.443427437672371</v>
      </c>
      <c r="M189" s="208">
        <f t="shared" si="70"/>
        <v>105.89375590590458</v>
      </c>
      <c r="N189" s="208">
        <f t="shared" si="60"/>
        <v>54.130500869754414</v>
      </c>
      <c r="O189" s="155">
        <f t="shared" si="71"/>
        <v>114.78497237279373</v>
      </c>
      <c r="P189" s="155">
        <f t="shared" si="72"/>
        <v>9.0250377574587173</v>
      </c>
      <c r="Q189" s="208">
        <f t="shared" si="73"/>
        <v>110.80286053912104</v>
      </c>
      <c r="R189" s="208">
        <f t="shared" si="61"/>
        <v>56.639924492939187</v>
      </c>
      <c r="S189" s="155">
        <f t="shared" si="74"/>
        <v>111.09843999342976</v>
      </c>
      <c r="T189" s="155">
        <f t="shared" si="75"/>
        <v>8.8759710826014775</v>
      </c>
      <c r="U189" s="208">
        <f t="shared" si="76"/>
        <v>111.09843999342976</v>
      </c>
      <c r="V189" s="208">
        <f t="shared" si="62"/>
        <v>56.791018046772116</v>
      </c>
      <c r="W189" s="155">
        <f t="shared" si="77"/>
        <v>110.05343659208785</v>
      </c>
      <c r="X189" s="155">
        <f t="shared" si="54"/>
        <v>8.874717680163922</v>
      </c>
      <c r="Y189" s="208">
        <f t="shared" si="78"/>
        <v>110.05343659208785</v>
      </c>
      <c r="Z189" s="208">
        <f t="shared" si="63"/>
        <v>56.256835865383643</v>
      </c>
    </row>
    <row r="190" spans="1:26" s="108" customFormat="1">
      <c r="A190" s="150">
        <v>2.2000000000000002</v>
      </c>
      <c r="B190" s="151">
        <f t="shared" si="64"/>
        <v>2.083539078119796</v>
      </c>
      <c r="C190" s="152">
        <f t="shared" si="56"/>
        <v>6.8428571428571434</v>
      </c>
      <c r="D190" s="152">
        <f t="shared" si="16"/>
        <v>7.1428571428571432</v>
      </c>
      <c r="E190" s="153">
        <f t="shared" si="57"/>
        <v>117.11802516701371</v>
      </c>
      <c r="F190" s="154">
        <f t="shared" ref="F190:F207" si="80">(0.5*Lm*$B190*$B190*$E190*0.001)</f>
        <v>61.011020247618049</v>
      </c>
      <c r="G190" s="155">
        <f t="shared" si="79"/>
        <v>110.05343659208785</v>
      </c>
      <c r="H190" s="155">
        <f t="shared" ref="H190:H207" si="81">$I$6+Tdead+$J$6+$B190*Lm/$C$6+$K$6+$B190*Lm/VOR+$L$6</f>
        <v>16.028539242492545</v>
      </c>
      <c r="I190" s="206">
        <f t="shared" ref="I190:I207" si="82">MIN(G190,1000/H190)</f>
        <v>62.388717079654057</v>
      </c>
      <c r="J190" s="206">
        <f t="shared" si="59"/>
        <v>32.500541872539699</v>
      </c>
      <c r="K190" s="155">
        <f t="shared" ref="K190:K207" si="83">IF(1000/($D190+$I$7+$I$13)&lt;$J$13,$J$13,1000/($D190+$I$7+$I$13))</f>
        <v>115.61900199661888</v>
      </c>
      <c r="L190" s="155">
        <f t="shared" ref="L190:L207" si="84">$I$9+Tdead+$J$9+$B190*Lm/L$59+$K$9+$B190*Lm/VOR+$L$9</f>
        <v>9.4980809732947655</v>
      </c>
      <c r="M190" s="208">
        <f t="shared" ref="M190:M207" si="85">MIN(K190,1000/L190)</f>
        <v>105.28442564467973</v>
      </c>
      <c r="N190" s="208">
        <f t="shared" si="60"/>
        <v>54.846469752254436</v>
      </c>
      <c r="O190" s="155">
        <f t="shared" ref="O190:O207" si="86">IF(1000/($D190+$I$8+$I$13)&lt;$J$13,$J$13,1000/($D190+$I$8+$I$13))</f>
        <v>114.78497237279373</v>
      </c>
      <c r="P190" s="155">
        <f t="shared" ref="P190:P207" si="87">$I$9+Tdead+$J$9+$B190*Lm/P$59+$K$9+$B190*Lm/VOR+$L$9</f>
        <v>9.0757164904903913</v>
      </c>
      <c r="Q190" s="208">
        <f t="shared" ref="Q190:Q207" si="88">MIN(O190,1000/P190)</f>
        <v>110.18413819424704</v>
      </c>
      <c r="R190" s="208">
        <f t="shared" si="61"/>
        <v>57.398907441865987</v>
      </c>
      <c r="S190" s="155">
        <f t="shared" ref="S190:S207" si="89">IF((1000/($D190+$I$9+$I$13))&lt;$J$13,$J$13,1000/($D190+$I$9+$I$13))</f>
        <v>111.09843999342976</v>
      </c>
      <c r="T190" s="155">
        <f t="shared" ref="T190:T207" si="90">$I$10+Tdead+$J$10+$B190*Lm/T$59+$K$10+$B190*Lm/VOR+$L$10</f>
        <v>8.9247864842003501</v>
      </c>
      <c r="U190" s="208">
        <f t="shared" ref="U190:U207" si="91">MIN(S190,1000/T190)</f>
        <v>111.09843999342976</v>
      </c>
      <c r="V190" s="208">
        <f t="shared" si="62"/>
        <v>57.875200356665594</v>
      </c>
      <c r="W190" s="155">
        <f t="shared" ref="W190:W207" si="92">IF(1000/($D190+$I$10+$I$13)&lt;$J$13,$J$13,1000/($D190+$I$10+$I$13))</f>
        <v>110.05343659208785</v>
      </c>
      <c r="X190" s="155">
        <f t="shared" ref="X190:X207" si="93">$I$10+Tdead+$J$10+$B190*Lm/$C$10+$K$10+$B190*Lm/VOR+$L$10</f>
        <v>8.9235211741381786</v>
      </c>
      <c r="Y190" s="208">
        <f t="shared" ref="Y190:Y207" si="94">MIN(W190,1000/X190)</f>
        <v>110.05343659208785</v>
      </c>
      <c r="Z190" s="208">
        <f t="shared" si="63"/>
        <v>57.330820244490866</v>
      </c>
    </row>
    <row r="191" spans="1:26" s="108" customFormat="1">
      <c r="A191" s="150">
        <v>2.25</v>
      </c>
      <c r="B191" s="151">
        <f t="shared" si="64"/>
        <v>2.1325586859629331</v>
      </c>
      <c r="C191" s="152">
        <f t="shared" ref="C191:C207" si="95">IF($A191&lt;$A$13,$H$13,IF($A191&gt;$B$13,$F$13,$F$13*($G$13-(($A191-$A$13)*($G$13-1)/($B$13-$A$13)))))</f>
        <v>6.8428571428571434</v>
      </c>
      <c r="D191" s="152">
        <f t="shared" si="16"/>
        <v>7.1428571428571432</v>
      </c>
      <c r="E191" s="153">
        <f t="shared" ref="E191:E207" si="96">IF(1*1000/(D191+$I$6+$I$13)&lt;$J$13,$J$13,1*1000/(D191+$I$6+$I$13))</f>
        <v>117.11802516701371</v>
      </c>
      <c r="F191" s="154">
        <f t="shared" si="80"/>
        <v>63.915614624326452</v>
      </c>
      <c r="G191" s="155">
        <f t="shared" ref="G191:G207" si="97">IF(1000/($D191+$I$10+$I$13)&lt;$J$13,$J$13,1000/($D191+$I$10+$I$13))</f>
        <v>110.05343659208785</v>
      </c>
      <c r="H191" s="155">
        <f t="shared" si="81"/>
        <v>16.300032455162228</v>
      </c>
      <c r="I191" s="206">
        <f t="shared" si="82"/>
        <v>61.349571097528674</v>
      </c>
      <c r="J191" s="206">
        <f t="shared" ref="J191:J207" si="98">0.5*$A$3*$B191*$B191*I191*0.001</f>
        <v>33.480717746441002</v>
      </c>
      <c r="K191" s="155">
        <f t="shared" si="83"/>
        <v>115.61900199661888</v>
      </c>
      <c r="L191" s="155">
        <f t="shared" si="84"/>
        <v>9.6347148123507491</v>
      </c>
      <c r="M191" s="208">
        <f t="shared" si="85"/>
        <v>103.79134405909961</v>
      </c>
      <c r="N191" s="208">
        <f t="shared" ref="N191:N207" si="99">0.5*$A$3*$B191*$B191*M191*0.001</f>
        <v>56.642754509924238</v>
      </c>
      <c r="O191" s="155">
        <f t="shared" si="86"/>
        <v>114.78497237279373</v>
      </c>
      <c r="P191" s="155">
        <f t="shared" si="87"/>
        <v>9.2024133230695746</v>
      </c>
      <c r="Q191" s="208">
        <f t="shared" si="88"/>
        <v>108.66714685517277</v>
      </c>
      <c r="R191" s="208">
        <f t="shared" ref="R191:R207" si="100">0.5*$A$3*$B191*$B191*Q191*0.001</f>
        <v>59.303659456482357</v>
      </c>
      <c r="S191" s="155">
        <f t="shared" si="89"/>
        <v>111.09843999342976</v>
      </c>
      <c r="T191" s="155">
        <f t="shared" si="90"/>
        <v>9.0468249881975353</v>
      </c>
      <c r="U191" s="208">
        <f t="shared" si="91"/>
        <v>110.53601692357235</v>
      </c>
      <c r="V191" s="208">
        <f t="shared" ref="V191:V207" si="101">0.5*$A$3*$B191*$B191*U191*0.001</f>
        <v>60.323570600855106</v>
      </c>
      <c r="W191" s="155">
        <f t="shared" si="92"/>
        <v>110.05343659208785</v>
      </c>
      <c r="X191" s="155">
        <f t="shared" si="93"/>
        <v>9.0455299090738173</v>
      </c>
      <c r="Y191" s="208">
        <f t="shared" si="94"/>
        <v>110.05343659208785</v>
      </c>
      <c r="Z191" s="208">
        <f t="shared" ref="Z191:Z207" si="102">0.5*$A$3*$B191*$B191*Y191*0.001</f>
        <v>60.060208761817456</v>
      </c>
    </row>
    <row r="192" spans="1:26" s="108" customFormat="1">
      <c r="A192" s="150">
        <v>2.2999999999999998</v>
      </c>
      <c r="B192" s="151">
        <f t="shared" ref="B192:B207" si="103">1*(MIN($A192*$B$16,$E$16)-$E$23)/$E$3</f>
        <v>2.1815782938060702</v>
      </c>
      <c r="C192" s="152">
        <f t="shared" si="95"/>
        <v>6.8428571428571434</v>
      </c>
      <c r="D192" s="152">
        <f t="shared" si="16"/>
        <v>7.1428571428571432</v>
      </c>
      <c r="E192" s="153">
        <f t="shared" si="96"/>
        <v>117.11802516701371</v>
      </c>
      <c r="F192" s="154">
        <f t="shared" si="80"/>
        <v>66.887751114741334</v>
      </c>
      <c r="G192" s="155">
        <f t="shared" si="97"/>
        <v>110.05343659208785</v>
      </c>
      <c r="H192" s="155">
        <f t="shared" si="81"/>
        <v>16.57152566783191</v>
      </c>
      <c r="I192" s="206">
        <f t="shared" si="82"/>
        <v>60.344474011899003</v>
      </c>
      <c r="J192" s="206">
        <f t="shared" si="98"/>
        <v>34.463577686713784</v>
      </c>
      <c r="K192" s="155">
        <f t="shared" si="83"/>
        <v>115.61900199661888</v>
      </c>
      <c r="L192" s="155">
        <f t="shared" si="84"/>
        <v>9.7713486514067327</v>
      </c>
      <c r="M192" s="208">
        <f t="shared" si="85"/>
        <v>102.34001832040195</v>
      </c>
      <c r="N192" s="208">
        <f t="shared" si="99"/>
        <v>58.447823592752066</v>
      </c>
      <c r="O192" s="155">
        <f t="shared" si="86"/>
        <v>114.78497237279373</v>
      </c>
      <c r="P192" s="155">
        <f t="shared" si="87"/>
        <v>9.3291101556487614</v>
      </c>
      <c r="Q192" s="208">
        <f t="shared" si="88"/>
        <v>107.19135944541308</v>
      </c>
      <c r="R192" s="208">
        <f t="shared" si="100"/>
        <v>61.218492729972517</v>
      </c>
      <c r="S192" s="155">
        <f t="shared" si="89"/>
        <v>111.09843999342976</v>
      </c>
      <c r="T192" s="155">
        <f t="shared" si="90"/>
        <v>9.1688634921947205</v>
      </c>
      <c r="U192" s="208">
        <f t="shared" si="91"/>
        <v>109.06477131558137</v>
      </c>
      <c r="V192" s="208">
        <f t="shared" si="101"/>
        <v>62.288424593394268</v>
      </c>
      <c r="W192" s="155">
        <f t="shared" si="92"/>
        <v>110.05343659208785</v>
      </c>
      <c r="X192" s="155">
        <f t="shared" si="93"/>
        <v>9.1675386440094595</v>
      </c>
      <c r="Y192" s="208">
        <f t="shared" si="94"/>
        <v>109.08053282692747</v>
      </c>
      <c r="Z192" s="208">
        <f t="shared" si="102"/>
        <v>62.297426214166194</v>
      </c>
    </row>
    <row r="193" spans="1:26" s="108" customFormat="1">
      <c r="A193" s="150">
        <v>2.35</v>
      </c>
      <c r="B193" s="151">
        <f t="shared" si="103"/>
        <v>2.2305979016492077</v>
      </c>
      <c r="C193" s="152">
        <f t="shared" si="95"/>
        <v>6.8428571428571434</v>
      </c>
      <c r="D193" s="152">
        <f t="shared" si="16"/>
        <v>7.1428571428571432</v>
      </c>
      <c r="E193" s="153">
        <f t="shared" si="96"/>
        <v>117.11802516701371</v>
      </c>
      <c r="F193" s="154">
        <f t="shared" si="80"/>
        <v>69.927429718862697</v>
      </c>
      <c r="G193" s="155">
        <f t="shared" si="97"/>
        <v>110.05343659208785</v>
      </c>
      <c r="H193" s="155">
        <f t="shared" si="81"/>
        <v>16.843018880501596</v>
      </c>
      <c r="I193" s="206">
        <f t="shared" si="82"/>
        <v>59.371779316690962</v>
      </c>
      <c r="J193" s="206">
        <f t="shared" si="98"/>
        <v>35.448991899677829</v>
      </c>
      <c r="K193" s="155">
        <f t="shared" si="83"/>
        <v>115.61900199661888</v>
      </c>
      <c r="L193" s="155">
        <f t="shared" si="84"/>
        <v>9.9079824904627198</v>
      </c>
      <c r="M193" s="208">
        <f t="shared" si="85"/>
        <v>100.92872095429978</v>
      </c>
      <c r="N193" s="208">
        <f t="shared" si="99"/>
        <v>60.261313585863803</v>
      </c>
      <c r="O193" s="155">
        <f t="shared" si="86"/>
        <v>114.78497237279373</v>
      </c>
      <c r="P193" s="155">
        <f t="shared" si="87"/>
        <v>9.4558069882279465</v>
      </c>
      <c r="Q193" s="208">
        <f t="shared" si="88"/>
        <v>105.75511971056039</v>
      </c>
      <c r="R193" s="208">
        <f t="shared" si="100"/>
        <v>63.143002030852003</v>
      </c>
      <c r="S193" s="155">
        <f t="shared" si="89"/>
        <v>111.09843999342976</v>
      </c>
      <c r="T193" s="155">
        <f t="shared" si="90"/>
        <v>9.2909019961919075</v>
      </c>
      <c r="U193" s="208">
        <f t="shared" si="91"/>
        <v>107.63217612346716</v>
      </c>
      <c r="V193" s="208">
        <f t="shared" si="101"/>
        <v>64.263732424014805</v>
      </c>
      <c r="W193" s="155">
        <f t="shared" si="92"/>
        <v>110.05343659208785</v>
      </c>
      <c r="X193" s="155">
        <f t="shared" si="93"/>
        <v>9.2895473789451</v>
      </c>
      <c r="Y193" s="208">
        <f t="shared" si="94"/>
        <v>107.64787122637591</v>
      </c>
      <c r="Z193" s="208">
        <f t="shared" si="102"/>
        <v>64.273103468343962</v>
      </c>
    </row>
    <row r="194" spans="1:26" s="108" customFormat="1">
      <c r="A194" s="150">
        <v>2.4</v>
      </c>
      <c r="B194" s="151">
        <f t="shared" si="103"/>
        <v>2.2796175094923448</v>
      </c>
      <c r="C194" s="152">
        <f t="shared" si="95"/>
        <v>6.8428571428571434</v>
      </c>
      <c r="D194" s="152">
        <f t="shared" si="16"/>
        <v>7.1428571428571432</v>
      </c>
      <c r="E194" s="153">
        <f t="shared" si="96"/>
        <v>117.11802516701371</v>
      </c>
      <c r="F194" s="154">
        <f t="shared" si="80"/>
        <v>73.034650436690498</v>
      </c>
      <c r="G194" s="155">
        <f t="shared" si="97"/>
        <v>110.05343659208785</v>
      </c>
      <c r="H194" s="155">
        <f t="shared" si="81"/>
        <v>17.114512093171275</v>
      </c>
      <c r="I194" s="206">
        <f t="shared" si="82"/>
        <v>58.429944982130223</v>
      </c>
      <c r="J194" s="206">
        <f t="shared" si="98"/>
        <v>36.436838827494633</v>
      </c>
      <c r="K194" s="155">
        <f t="shared" si="83"/>
        <v>115.61900199661888</v>
      </c>
      <c r="L194" s="155">
        <f t="shared" si="84"/>
        <v>10.044616329518702</v>
      </c>
      <c r="M194" s="208">
        <f t="shared" si="85"/>
        <v>99.555818479720472</v>
      </c>
      <c r="N194" s="208">
        <f t="shared" si="99"/>
        <v>62.082880848070175</v>
      </c>
      <c r="O194" s="155">
        <f t="shared" si="86"/>
        <v>114.78497237279373</v>
      </c>
      <c r="P194" s="155">
        <f t="shared" si="87"/>
        <v>9.5825038208071316</v>
      </c>
      <c r="Q194" s="208">
        <f t="shared" si="88"/>
        <v>104.35685899009329</v>
      </c>
      <c r="R194" s="208">
        <f t="shared" si="100"/>
        <v>65.076803559005938</v>
      </c>
      <c r="S194" s="155">
        <f t="shared" si="89"/>
        <v>111.09843999342976</v>
      </c>
      <c r="T194" s="155">
        <f t="shared" si="90"/>
        <v>9.4129405001890909</v>
      </c>
      <c r="U194" s="208">
        <f t="shared" si="91"/>
        <v>106.2367280426251</v>
      </c>
      <c r="V194" s="208">
        <f t="shared" si="101"/>
        <v>66.249087491582728</v>
      </c>
      <c r="W194" s="155">
        <f t="shared" si="92"/>
        <v>110.05343659208785</v>
      </c>
      <c r="X194" s="155">
        <f t="shared" si="93"/>
        <v>9.4115561138807404</v>
      </c>
      <c r="Y194" s="208">
        <f t="shared" si="94"/>
        <v>106.25235486033374</v>
      </c>
      <c r="Z194" s="208">
        <f t="shared" si="102"/>
        <v>66.258832355083968</v>
      </c>
    </row>
    <row r="195" spans="1:26" s="108" customFormat="1">
      <c r="A195" s="150">
        <v>2.4500000000000002</v>
      </c>
      <c r="B195" s="151">
        <f t="shared" si="103"/>
        <v>2.3286371173354823</v>
      </c>
      <c r="C195" s="152">
        <f t="shared" si="95"/>
        <v>6.8428571428571434</v>
      </c>
      <c r="D195" s="152">
        <f t="shared" si="16"/>
        <v>7.1428571428571432</v>
      </c>
      <c r="E195" s="153">
        <f t="shared" si="96"/>
        <v>117.11802516701371</v>
      </c>
      <c r="F195" s="154">
        <f t="shared" si="80"/>
        <v>76.209413268224822</v>
      </c>
      <c r="G195" s="155">
        <f t="shared" si="97"/>
        <v>110.05343659208785</v>
      </c>
      <c r="H195" s="155">
        <f t="shared" si="81"/>
        <v>17.386005305840964</v>
      </c>
      <c r="I195" s="206">
        <f t="shared" si="82"/>
        <v>57.517525297432307</v>
      </c>
      <c r="J195" s="206">
        <f t="shared" si="98"/>
        <v>37.427004505128657</v>
      </c>
      <c r="K195" s="155">
        <f t="shared" si="83"/>
        <v>115.61900199661888</v>
      </c>
      <c r="L195" s="155">
        <f t="shared" si="84"/>
        <v>10.181250168574687</v>
      </c>
      <c r="M195" s="208">
        <f t="shared" si="85"/>
        <v>98.219765101793385</v>
      </c>
      <c r="N195" s="208">
        <f t="shared" si="99"/>
        <v>63.91220018503833</v>
      </c>
      <c r="O195" s="155">
        <f t="shared" si="86"/>
        <v>114.78497237279373</v>
      </c>
      <c r="P195" s="155">
        <f t="shared" si="87"/>
        <v>9.7092006533863184</v>
      </c>
      <c r="Q195" s="208">
        <f t="shared" si="88"/>
        <v>102.99509050224704</v>
      </c>
      <c r="R195" s="208">
        <f t="shared" si="100"/>
        <v>67.019533547383347</v>
      </c>
      <c r="S195" s="155">
        <f t="shared" si="89"/>
        <v>111.09843999342976</v>
      </c>
      <c r="T195" s="155">
        <f t="shared" si="90"/>
        <v>9.5349790041862779</v>
      </c>
      <c r="U195" s="208">
        <f t="shared" si="91"/>
        <v>104.87700073182707</v>
      </c>
      <c r="V195" s="208">
        <f t="shared" si="101"/>
        <v>68.244104011368222</v>
      </c>
      <c r="W195" s="155">
        <f t="shared" si="92"/>
        <v>110.05343659208785</v>
      </c>
      <c r="X195" s="155">
        <f t="shared" si="93"/>
        <v>9.5335648488163809</v>
      </c>
      <c r="Y195" s="208">
        <f t="shared" si="94"/>
        <v>104.89255759603427</v>
      </c>
      <c r="Z195" s="208">
        <f t="shared" si="102"/>
        <v>68.254226957787736</v>
      </c>
    </row>
    <row r="196" spans="1:26" s="108" customFormat="1">
      <c r="A196" s="150">
        <v>2.5</v>
      </c>
      <c r="B196" s="151">
        <f t="shared" si="103"/>
        <v>2.3776567251786194</v>
      </c>
      <c r="C196" s="152">
        <f t="shared" si="95"/>
        <v>6.8428571428571434</v>
      </c>
      <c r="D196" s="152">
        <f t="shared" si="16"/>
        <v>7.1428571428571432</v>
      </c>
      <c r="E196" s="153">
        <f t="shared" si="96"/>
        <v>117.11802516701371</v>
      </c>
      <c r="F196" s="154">
        <f t="shared" si="80"/>
        <v>79.451718213465554</v>
      </c>
      <c r="G196" s="155">
        <f t="shared" si="97"/>
        <v>110.05343659208785</v>
      </c>
      <c r="H196" s="155">
        <f t="shared" si="81"/>
        <v>17.657498518510646</v>
      </c>
      <c r="I196" s="206">
        <f t="shared" si="82"/>
        <v>56.633163466030226</v>
      </c>
      <c r="J196" s="206">
        <f t="shared" si="98"/>
        <v>38.419381976630859</v>
      </c>
      <c r="K196" s="155">
        <f t="shared" si="83"/>
        <v>115.61900199661888</v>
      </c>
      <c r="L196" s="155">
        <f t="shared" si="84"/>
        <v>10.317884007630672</v>
      </c>
      <c r="M196" s="208">
        <f t="shared" si="85"/>
        <v>96.919096905958824</v>
      </c>
      <c r="N196" s="208">
        <f t="shared" si="99"/>
        <v>65.748963627885843</v>
      </c>
      <c r="O196" s="155">
        <f t="shared" si="86"/>
        <v>114.78497237279373</v>
      </c>
      <c r="P196" s="155">
        <f t="shared" si="87"/>
        <v>9.8358974859655035</v>
      </c>
      <c r="Q196" s="208">
        <f t="shared" si="88"/>
        <v>101.66840407058582</v>
      </c>
      <c r="R196" s="208">
        <f t="shared" si="100"/>
        <v>68.970846971760849</v>
      </c>
      <c r="S196" s="155">
        <f t="shared" si="89"/>
        <v>111.09843999342976</v>
      </c>
      <c r="T196" s="155">
        <f t="shared" si="90"/>
        <v>9.6570175081834631</v>
      </c>
      <c r="U196" s="208">
        <f t="shared" si="91"/>
        <v>103.55163995018016</v>
      </c>
      <c r="V196" s="208">
        <f t="shared" si="101"/>
        <v>70.248415699731183</v>
      </c>
      <c r="W196" s="155">
        <f t="shared" si="92"/>
        <v>110.05343659208785</v>
      </c>
      <c r="X196" s="155">
        <f t="shared" si="93"/>
        <v>9.6555735837520213</v>
      </c>
      <c r="Y196" s="208">
        <f t="shared" si="94"/>
        <v>103.56712538370132</v>
      </c>
      <c r="Z196" s="208">
        <f t="shared" si="102"/>
        <v>70.25892086577015</v>
      </c>
    </row>
    <row r="197" spans="1:26" s="108" customFormat="1">
      <c r="A197" s="150">
        <v>2.6</v>
      </c>
      <c r="B197" s="151">
        <f t="shared" si="103"/>
        <v>2.475695940864894</v>
      </c>
      <c r="C197" s="152">
        <f t="shared" si="95"/>
        <v>6.8428571428571434</v>
      </c>
      <c r="D197" s="152">
        <f t="shared" si="16"/>
        <v>7.1428571428571432</v>
      </c>
      <c r="E197" s="153">
        <f t="shared" si="96"/>
        <v>117.11802516701371</v>
      </c>
      <c r="F197" s="154">
        <f t="shared" si="80"/>
        <v>86.138954445066474</v>
      </c>
      <c r="G197" s="155">
        <f t="shared" si="97"/>
        <v>110.05343659208785</v>
      </c>
      <c r="H197" s="155">
        <f t="shared" si="81"/>
        <v>18.200484943850007</v>
      </c>
      <c r="I197" s="206">
        <f t="shared" si="82"/>
        <v>54.943590958432274</v>
      </c>
      <c r="J197" s="206">
        <f t="shared" si="98"/>
        <v>40.410376386279367</v>
      </c>
      <c r="K197" s="155">
        <f t="shared" si="83"/>
        <v>115.61900199661888</v>
      </c>
      <c r="L197" s="155">
        <f t="shared" si="84"/>
        <v>10.59115168574264</v>
      </c>
      <c r="M197" s="208">
        <f t="shared" si="85"/>
        <v>94.418438114351403</v>
      </c>
      <c r="N197" s="208">
        <f t="shared" si="99"/>
        <v>69.443670416303533</v>
      </c>
      <c r="O197" s="155">
        <f t="shared" si="86"/>
        <v>114.78497237279373</v>
      </c>
      <c r="P197" s="155">
        <f t="shared" si="87"/>
        <v>10.089291151123874</v>
      </c>
      <c r="Q197" s="208">
        <f t="shared" si="88"/>
        <v>99.114990837449199</v>
      </c>
      <c r="R197" s="208">
        <f t="shared" si="100"/>
        <v>72.897930684839181</v>
      </c>
      <c r="S197" s="155">
        <f t="shared" si="89"/>
        <v>111.09843999342976</v>
      </c>
      <c r="T197" s="155">
        <f t="shared" si="90"/>
        <v>9.9010945161778334</v>
      </c>
      <c r="U197" s="208">
        <f t="shared" si="91"/>
        <v>100.99893485170311</v>
      </c>
      <c r="V197" s="208">
        <f t="shared" si="101"/>
        <v>74.283549742106047</v>
      </c>
      <c r="W197" s="155">
        <f t="shared" si="92"/>
        <v>110.05343659208785</v>
      </c>
      <c r="X197" s="155">
        <f t="shared" si="93"/>
        <v>9.8995910536233023</v>
      </c>
      <c r="Y197" s="208">
        <f t="shared" si="94"/>
        <v>101.01427367891068</v>
      </c>
      <c r="Z197" s="208">
        <f t="shared" si="102"/>
        <v>74.294831272307633</v>
      </c>
    </row>
    <row r="198" spans="1:26" s="108" customFormat="1">
      <c r="A198" s="150">
        <v>2.7</v>
      </c>
      <c r="B198" s="151">
        <f t="shared" si="103"/>
        <v>2.5737351565511686</v>
      </c>
      <c r="C198" s="152">
        <f t="shared" si="95"/>
        <v>6.8428571428571434</v>
      </c>
      <c r="D198" s="152">
        <f t="shared" si="16"/>
        <v>7.1428571428571432</v>
      </c>
      <c r="E198" s="153">
        <f t="shared" si="96"/>
        <v>117.11802516701371</v>
      </c>
      <c r="F198" s="154">
        <f t="shared" si="80"/>
        <v>93.096359131493273</v>
      </c>
      <c r="G198" s="155">
        <f t="shared" si="97"/>
        <v>110.05343659208785</v>
      </c>
      <c r="H198" s="155">
        <f t="shared" si="81"/>
        <v>18.743471369189379</v>
      </c>
      <c r="I198" s="206">
        <f t="shared" si="82"/>
        <v>53.351910129294701</v>
      </c>
      <c r="J198" s="206">
        <f t="shared" si="98"/>
        <v>42.409087573540234</v>
      </c>
      <c r="K198" s="155">
        <f t="shared" si="83"/>
        <v>115.61900199661888</v>
      </c>
      <c r="L198" s="155">
        <f t="shared" si="84"/>
        <v>10.86441936385461</v>
      </c>
      <c r="M198" s="208">
        <f t="shared" si="85"/>
        <v>92.043575133610076</v>
      </c>
      <c r="N198" s="208">
        <f t="shared" si="99"/>
        <v>73.164841314269211</v>
      </c>
      <c r="O198" s="155">
        <f t="shared" si="86"/>
        <v>114.78497237279373</v>
      </c>
      <c r="P198" s="155">
        <f t="shared" si="87"/>
        <v>10.342684816282246</v>
      </c>
      <c r="Q198" s="208">
        <f t="shared" si="88"/>
        <v>96.686693809495523</v>
      </c>
      <c r="R198" s="208">
        <f t="shared" si="100"/>
        <v>76.855626256415945</v>
      </c>
      <c r="S198" s="155">
        <f t="shared" si="89"/>
        <v>111.09843999342976</v>
      </c>
      <c r="T198" s="155">
        <f t="shared" si="90"/>
        <v>10.145171524172207</v>
      </c>
      <c r="U198" s="208">
        <f t="shared" si="91"/>
        <v>98.56905796194458</v>
      </c>
      <c r="V198" s="208">
        <f t="shared" si="101"/>
        <v>78.351905321083805</v>
      </c>
      <c r="W198" s="155">
        <f t="shared" si="92"/>
        <v>110.05343659208785</v>
      </c>
      <c r="X198" s="155">
        <f t="shared" si="93"/>
        <v>10.143608523494587</v>
      </c>
      <c r="Y198" s="208">
        <f t="shared" si="94"/>
        <v>98.58424619639095</v>
      </c>
      <c r="Z198" s="208">
        <f t="shared" si="102"/>
        <v>78.363978350206153</v>
      </c>
    </row>
    <row r="199" spans="1:26" s="108" customFormat="1">
      <c r="A199" s="150">
        <v>2.8</v>
      </c>
      <c r="B199" s="151">
        <f t="shared" si="103"/>
        <v>2.6717743722374427</v>
      </c>
      <c r="C199" s="152">
        <f t="shared" si="95"/>
        <v>6.8428571428571434</v>
      </c>
      <c r="D199" s="152">
        <f t="shared" si="16"/>
        <v>7.1428571428571432</v>
      </c>
      <c r="E199" s="153">
        <f t="shared" si="96"/>
        <v>117.11802516701371</v>
      </c>
      <c r="F199" s="154">
        <f t="shared" si="80"/>
        <v>100.32393227274588</v>
      </c>
      <c r="G199" s="155">
        <f t="shared" si="97"/>
        <v>110.05343659208785</v>
      </c>
      <c r="H199" s="155">
        <f t="shared" si="81"/>
        <v>19.28645779452874</v>
      </c>
      <c r="I199" s="206">
        <f t="shared" si="82"/>
        <v>51.849852920305771</v>
      </c>
      <c r="J199" s="206">
        <f t="shared" si="98"/>
        <v>44.414863769353182</v>
      </c>
      <c r="K199" s="155">
        <f t="shared" si="83"/>
        <v>115.61900199661888</v>
      </c>
      <c r="L199" s="155">
        <f t="shared" si="84"/>
        <v>11.137687041966577</v>
      </c>
      <c r="M199" s="208">
        <f t="shared" si="85"/>
        <v>89.785248609699693</v>
      </c>
      <c r="N199" s="208">
        <f t="shared" si="99"/>
        <v>76.910528398733234</v>
      </c>
      <c r="O199" s="155">
        <f t="shared" si="86"/>
        <v>114.78497237279373</v>
      </c>
      <c r="P199" s="155">
        <f t="shared" si="87"/>
        <v>10.596078481440616</v>
      </c>
      <c r="Q199" s="208">
        <f t="shared" si="88"/>
        <v>94.374536933784825</v>
      </c>
      <c r="R199" s="208">
        <f t="shared" si="100"/>
        <v>80.841737538821235</v>
      </c>
      <c r="S199" s="155">
        <f t="shared" si="89"/>
        <v>111.09843999342976</v>
      </c>
      <c r="T199" s="155">
        <f t="shared" si="90"/>
        <v>10.389248532166576</v>
      </c>
      <c r="U199" s="208">
        <f t="shared" si="91"/>
        <v>96.253352386735116</v>
      </c>
      <c r="V199" s="208">
        <f t="shared" si="101"/>
        <v>82.451140993037455</v>
      </c>
      <c r="W199" s="155">
        <f t="shared" si="92"/>
        <v>110.05343659208785</v>
      </c>
      <c r="X199" s="155">
        <f t="shared" si="93"/>
        <v>10.387625993365866</v>
      </c>
      <c r="Y199" s="208">
        <f t="shared" si="94"/>
        <v>96.268387082732602</v>
      </c>
      <c r="Z199" s="208">
        <f t="shared" si="102"/>
        <v>82.464019794749163</v>
      </c>
    </row>
    <row r="200" spans="1:26" s="108" customFormat="1">
      <c r="A200" s="150">
        <v>2.9</v>
      </c>
      <c r="B200" s="151">
        <f t="shared" si="103"/>
        <v>2.7698135879237169</v>
      </c>
      <c r="C200" s="152">
        <f t="shared" si="95"/>
        <v>6.8428571428571434</v>
      </c>
      <c r="D200" s="152">
        <f t="shared" si="16"/>
        <v>7.1428571428571432</v>
      </c>
      <c r="E200" s="153">
        <f t="shared" si="96"/>
        <v>117.11802516701371</v>
      </c>
      <c r="F200" s="154">
        <f t="shared" si="80"/>
        <v>107.82167386882436</v>
      </c>
      <c r="G200" s="155">
        <f t="shared" si="97"/>
        <v>110.05343659208785</v>
      </c>
      <c r="H200" s="155">
        <f t="shared" si="81"/>
        <v>19.829444219868108</v>
      </c>
      <c r="I200" s="206">
        <f t="shared" si="82"/>
        <v>50.430056884703312</v>
      </c>
      <c r="J200" s="206">
        <f t="shared" si="98"/>
        <v>46.427124593799924</v>
      </c>
      <c r="K200" s="155">
        <f t="shared" si="83"/>
        <v>115.61900199661888</v>
      </c>
      <c r="L200" s="155">
        <f t="shared" si="84"/>
        <v>11.410954720078545</v>
      </c>
      <c r="M200" s="208">
        <f t="shared" si="85"/>
        <v>87.635086154571709</v>
      </c>
      <c r="N200" s="208">
        <f t="shared" si="99"/>
        <v>80.678970340816988</v>
      </c>
      <c r="O200" s="155">
        <f t="shared" si="86"/>
        <v>114.78497237279373</v>
      </c>
      <c r="P200" s="155">
        <f t="shared" si="87"/>
        <v>10.849472146598986</v>
      </c>
      <c r="Q200" s="208">
        <f t="shared" si="88"/>
        <v>92.170382714284656</v>
      </c>
      <c r="R200" s="208">
        <f t="shared" si="100"/>
        <v>84.854273551936174</v>
      </c>
      <c r="S200" s="155">
        <f t="shared" si="89"/>
        <v>111.09843999342976</v>
      </c>
      <c r="T200" s="155">
        <f t="shared" si="90"/>
        <v>10.633325540160948</v>
      </c>
      <c r="U200" s="208">
        <f t="shared" si="91"/>
        <v>94.043956072171923</v>
      </c>
      <c r="V200" s="208">
        <f t="shared" si="101"/>
        <v>86.579130296022868</v>
      </c>
      <c r="W200" s="155">
        <f t="shared" si="92"/>
        <v>110.05343659208785</v>
      </c>
      <c r="X200" s="155">
        <f t="shared" si="93"/>
        <v>10.631643463237149</v>
      </c>
      <c r="Y200" s="208">
        <f t="shared" si="94"/>
        <v>94.05883516108031</v>
      </c>
      <c r="Z200" s="208">
        <f t="shared" si="102"/>
        <v>86.592828343522029</v>
      </c>
    </row>
    <row r="201" spans="1:26" s="108" customFormat="1">
      <c r="A201" s="150">
        <v>3</v>
      </c>
      <c r="B201" s="151">
        <f t="shared" si="103"/>
        <v>2.867852803609992</v>
      </c>
      <c r="C201" s="152">
        <f t="shared" si="95"/>
        <v>6.8428571428571434</v>
      </c>
      <c r="D201" s="152">
        <f t="shared" si="16"/>
        <v>7.1428571428571432</v>
      </c>
      <c r="E201" s="153">
        <f t="shared" si="96"/>
        <v>117.11802516701371</v>
      </c>
      <c r="F201" s="154">
        <f t="shared" si="80"/>
        <v>115.58958391972878</v>
      </c>
      <c r="G201" s="155">
        <f t="shared" si="97"/>
        <v>110.05343659208785</v>
      </c>
      <c r="H201" s="155">
        <f t="shared" si="81"/>
        <v>20.372430645207476</v>
      </c>
      <c r="I201" s="206">
        <f t="shared" si="82"/>
        <v>49.085944500944741</v>
      </c>
      <c r="J201" s="206">
        <f t="shared" si="98"/>
        <v>48.445351542429648</v>
      </c>
      <c r="K201" s="155">
        <f t="shared" si="83"/>
        <v>115.61900199661888</v>
      </c>
      <c r="L201" s="155">
        <f t="shared" si="84"/>
        <v>11.684222398190515</v>
      </c>
      <c r="M201" s="208">
        <f t="shared" si="85"/>
        <v>85.585498625468276</v>
      </c>
      <c r="N201" s="208">
        <f t="shared" si="99"/>
        <v>84.468570585723157</v>
      </c>
      <c r="O201" s="155">
        <f t="shared" si="86"/>
        <v>114.78497237279373</v>
      </c>
      <c r="P201" s="155">
        <f t="shared" si="87"/>
        <v>11.10286581175736</v>
      </c>
      <c r="Q201" s="208">
        <f t="shared" si="88"/>
        <v>90.066836522607687</v>
      </c>
      <c r="R201" s="208">
        <f t="shared" si="100"/>
        <v>88.891425071148262</v>
      </c>
      <c r="S201" s="155">
        <f t="shared" si="89"/>
        <v>111.09843999342976</v>
      </c>
      <c r="T201" s="155">
        <f t="shared" si="90"/>
        <v>10.877402548155318</v>
      </c>
      <c r="U201" s="208">
        <f t="shared" si="91"/>
        <v>91.933712627890969</v>
      </c>
      <c r="V201" s="208">
        <f t="shared" si="101"/>
        <v>90.733937630010601</v>
      </c>
      <c r="W201" s="155">
        <f t="shared" si="92"/>
        <v>110.05343659208785</v>
      </c>
      <c r="X201" s="155">
        <f t="shared" si="93"/>
        <v>10.87566093310843</v>
      </c>
      <c r="Y201" s="208">
        <f t="shared" si="94"/>
        <v>91.948434780246942</v>
      </c>
      <c r="Z201" s="208">
        <f t="shared" si="102"/>
        <v>90.74846765186507</v>
      </c>
    </row>
    <row r="202" spans="1:26" s="108" customFormat="1">
      <c r="A202" s="150">
        <v>3.1</v>
      </c>
      <c r="B202" s="151">
        <f t="shared" si="103"/>
        <v>2.9658920192962666</v>
      </c>
      <c r="C202" s="152">
        <f t="shared" si="95"/>
        <v>6.8428571428571434</v>
      </c>
      <c r="D202" s="152">
        <f t="shared" si="16"/>
        <v>7.1428571428571432</v>
      </c>
      <c r="E202" s="153">
        <f t="shared" si="96"/>
        <v>117.11802516701371</v>
      </c>
      <c r="F202" s="154">
        <f t="shared" si="80"/>
        <v>123.62766242545905</v>
      </c>
      <c r="G202" s="155">
        <f t="shared" si="97"/>
        <v>110.05343659208785</v>
      </c>
      <c r="H202" s="155">
        <f t="shared" si="81"/>
        <v>20.915417070546845</v>
      </c>
      <c r="I202" s="206">
        <f t="shared" si="82"/>
        <v>47.811621285248151</v>
      </c>
      <c r="J202" s="206">
        <f t="shared" si="98"/>
        <v>50.469079954494809</v>
      </c>
      <c r="K202" s="155">
        <f t="shared" si="83"/>
        <v>115.61900199661888</v>
      </c>
      <c r="L202" s="155">
        <f t="shared" si="84"/>
        <v>11.957490076302484</v>
      </c>
      <c r="M202" s="208">
        <f t="shared" si="85"/>
        <v>83.629590626365101</v>
      </c>
      <c r="N202" s="208">
        <f t="shared" si="99"/>
        <v>88.277878524607814</v>
      </c>
      <c r="O202" s="155">
        <f t="shared" si="86"/>
        <v>114.78497237279373</v>
      </c>
      <c r="P202" s="155">
        <f t="shared" si="87"/>
        <v>11.35625947691573</v>
      </c>
      <c r="Q202" s="208">
        <f t="shared" si="88"/>
        <v>88.057163719509518</v>
      </c>
      <c r="R202" s="208">
        <f t="shared" si="100"/>
        <v>92.951544349682464</v>
      </c>
      <c r="S202" s="155">
        <f t="shared" si="89"/>
        <v>111.09843999342976</v>
      </c>
      <c r="T202" s="155">
        <f t="shared" si="90"/>
        <v>11.121479556149691</v>
      </c>
      <c r="U202" s="208">
        <f t="shared" si="91"/>
        <v>89.916093893014789</v>
      </c>
      <c r="V202" s="208">
        <f t="shared" si="101"/>
        <v>94.913797313177085</v>
      </c>
      <c r="W202" s="155">
        <f t="shared" si="92"/>
        <v>110.05343659208785</v>
      </c>
      <c r="X202" s="155">
        <f t="shared" si="93"/>
        <v>11.11967840297971</v>
      </c>
      <c r="Y202" s="208">
        <f t="shared" si="94"/>
        <v>89.930658402138022</v>
      </c>
      <c r="Z202" s="208">
        <f t="shared" si="102"/>
        <v>94.929171344755161</v>
      </c>
    </row>
    <row r="203" spans="1:26" s="161" customFormat="1">
      <c r="A203" s="156">
        <v>3.2</v>
      </c>
      <c r="B203" s="151">
        <f t="shared" si="103"/>
        <v>3.0639312349825412</v>
      </c>
      <c r="C203" s="158">
        <f t="shared" si="95"/>
        <v>6.8428571428571434</v>
      </c>
      <c r="D203" s="158">
        <f t="shared" si="16"/>
        <v>7.1428571428571432</v>
      </c>
      <c r="E203" s="153">
        <f t="shared" si="96"/>
        <v>117.11802516701371</v>
      </c>
      <c r="F203" s="154">
        <f t="shared" si="80"/>
        <v>131.93590938601517</v>
      </c>
      <c r="G203" s="160">
        <f t="shared" si="97"/>
        <v>110.05343659208785</v>
      </c>
      <c r="H203" s="160">
        <f t="shared" si="81"/>
        <v>21.458403495886209</v>
      </c>
      <c r="I203" s="206">
        <f t="shared" si="82"/>
        <v>46.601789373180068</v>
      </c>
      <c r="J203" s="206">
        <f t="shared" si="98"/>
        <v>52.497892200608597</v>
      </c>
      <c r="K203" s="160">
        <f t="shared" si="83"/>
        <v>115.61900199661888</v>
      </c>
      <c r="L203" s="155">
        <f t="shared" si="84"/>
        <v>12.230757754414453</v>
      </c>
      <c r="M203" s="208">
        <f t="shared" si="85"/>
        <v>81.761083007229828</v>
      </c>
      <c r="N203" s="208">
        <f t="shared" si="99"/>
        <v>92.105573190475553</v>
      </c>
      <c r="O203" s="160">
        <f t="shared" si="86"/>
        <v>114.78497237279373</v>
      </c>
      <c r="P203" s="155">
        <f t="shared" si="87"/>
        <v>11.6096531420741</v>
      </c>
      <c r="Q203" s="208">
        <f t="shared" si="88"/>
        <v>86.135217629882348</v>
      </c>
      <c r="R203" s="208">
        <f t="shared" si="100"/>
        <v>97.033127496429273</v>
      </c>
      <c r="S203" s="160">
        <f t="shared" si="89"/>
        <v>111.09843999342976</v>
      </c>
      <c r="T203" s="155">
        <f t="shared" si="90"/>
        <v>11.365556564144063</v>
      </c>
      <c r="U203" s="208">
        <f t="shared" si="91"/>
        <v>87.985132479546962</v>
      </c>
      <c r="V203" s="208">
        <f t="shared" si="101"/>
        <v>99.117095336812028</v>
      </c>
      <c r="W203" s="160">
        <f t="shared" si="92"/>
        <v>110.05343659208785</v>
      </c>
      <c r="X203" s="155">
        <f t="shared" si="93"/>
        <v>11.363695872850993</v>
      </c>
      <c r="Y203" s="208">
        <f t="shared" si="94"/>
        <v>87.999539163055232</v>
      </c>
      <c r="Z203" s="208">
        <f t="shared" si="102"/>
        <v>99.133324767654884</v>
      </c>
    </row>
    <row r="204" spans="1:26" s="167" customFormat="1">
      <c r="A204" s="162">
        <v>3.3</v>
      </c>
      <c r="B204" s="163">
        <f t="shared" si="103"/>
        <v>3.1619704506688153</v>
      </c>
      <c r="C204" s="164">
        <f t="shared" si="95"/>
        <v>6.8428571428571434</v>
      </c>
      <c r="D204" s="164">
        <f t="shared" si="16"/>
        <v>7.1428571428571432</v>
      </c>
      <c r="E204" s="165">
        <f t="shared" si="96"/>
        <v>117.11802516701371</v>
      </c>
      <c r="F204" s="165">
        <f t="shared" si="80"/>
        <v>140.51432480139709</v>
      </c>
      <c r="G204" s="166">
        <f t="shared" si="97"/>
        <v>110.05343659208785</v>
      </c>
      <c r="H204" s="166">
        <f t="shared" si="81"/>
        <v>22.001389921225574</v>
      </c>
      <c r="I204" s="207">
        <f t="shared" si="82"/>
        <v>45.451673897895972</v>
      </c>
      <c r="J204" s="207">
        <f t="shared" si="98"/>
        <v>54.53141187915903</v>
      </c>
      <c r="K204" s="166">
        <f t="shared" si="83"/>
        <v>115.61900199661888</v>
      </c>
      <c r="L204" s="155">
        <f t="shared" si="84"/>
        <v>12.50402543252642</v>
      </c>
      <c r="M204" s="209">
        <f t="shared" si="85"/>
        <v>79.974245525662809</v>
      </c>
      <c r="N204" s="209">
        <f t="shared" si="99"/>
        <v>95.950449091970455</v>
      </c>
      <c r="O204" s="166">
        <f t="shared" si="86"/>
        <v>114.78497237279373</v>
      </c>
      <c r="P204" s="155">
        <f t="shared" si="87"/>
        <v>11.86304680723247</v>
      </c>
      <c r="Q204" s="209">
        <f t="shared" si="88"/>
        <v>84.295376748436681</v>
      </c>
      <c r="R204" s="209">
        <f t="shared" si="100"/>
        <v>101.13479911222095</v>
      </c>
      <c r="S204" s="166">
        <f t="shared" si="89"/>
        <v>111.09843999342976</v>
      </c>
      <c r="T204" s="155">
        <f t="shared" si="90"/>
        <v>11.609633572138433</v>
      </c>
      <c r="U204" s="209">
        <f t="shared" si="91"/>
        <v>86.135362824875557</v>
      </c>
      <c r="V204" s="209">
        <f t="shared" si="101"/>
        <v>103.34235342169713</v>
      </c>
      <c r="W204" s="166">
        <f t="shared" si="92"/>
        <v>110.05343659208785</v>
      </c>
      <c r="X204" s="155">
        <f t="shared" si="93"/>
        <v>11.607713342722272</v>
      </c>
      <c r="Y204" s="209">
        <f t="shared" si="94"/>
        <v>86.149611941181632</v>
      </c>
      <c r="Z204" s="209">
        <f t="shared" si="102"/>
        <v>103.35944903916429</v>
      </c>
    </row>
    <row r="205" spans="1:26" s="108" customFormat="1">
      <c r="A205" s="150">
        <v>3.4</v>
      </c>
      <c r="B205" s="151">
        <f t="shared" si="103"/>
        <v>3.2600096663550899</v>
      </c>
      <c r="C205" s="152">
        <f t="shared" si="95"/>
        <v>6.8428571428571434</v>
      </c>
      <c r="D205" s="152">
        <f t="shared" si="16"/>
        <v>7.1428571428571432</v>
      </c>
      <c r="E205" s="153">
        <f t="shared" si="96"/>
        <v>117.11802516701371</v>
      </c>
      <c r="F205" s="154">
        <f t="shared" si="80"/>
        <v>149.362908671605</v>
      </c>
      <c r="G205" s="155">
        <f t="shared" si="97"/>
        <v>110.05343659208785</v>
      </c>
      <c r="H205" s="155">
        <f t="shared" si="81"/>
        <v>22.544376346564942</v>
      </c>
      <c r="I205" s="206">
        <f t="shared" si="82"/>
        <v>44.356960007561653</v>
      </c>
      <c r="J205" s="206">
        <f t="shared" si="98"/>
        <v>56.569298851407524</v>
      </c>
      <c r="K205" s="155">
        <f t="shared" si="83"/>
        <v>115.61900199661888</v>
      </c>
      <c r="L205" s="155">
        <f t="shared" si="84"/>
        <v>12.777293110638389</v>
      </c>
      <c r="M205" s="208">
        <f t="shared" si="85"/>
        <v>78.263838149521575</v>
      </c>
      <c r="N205" s="208">
        <f t="shared" si="99"/>
        <v>99.811403865001935</v>
      </c>
      <c r="O205" s="155">
        <f t="shared" si="86"/>
        <v>114.78497237279373</v>
      </c>
      <c r="P205" s="155">
        <f t="shared" si="87"/>
        <v>12.116440472390842</v>
      </c>
      <c r="Q205" s="208">
        <f t="shared" si="88"/>
        <v>82.532489824767637</v>
      </c>
      <c r="R205" s="208">
        <f t="shared" si="100"/>
        <v>105.25529885393696</v>
      </c>
      <c r="S205" s="155">
        <f t="shared" si="89"/>
        <v>111.09843999342976</v>
      </c>
      <c r="T205" s="155">
        <f t="shared" si="90"/>
        <v>11.853710580132804</v>
      </c>
      <c r="U205" s="208">
        <f t="shared" si="91"/>
        <v>84.361769526921961</v>
      </c>
      <c r="V205" s="208">
        <f t="shared" si="101"/>
        <v>107.58821504423361</v>
      </c>
      <c r="W205" s="155">
        <f t="shared" si="92"/>
        <v>110.05343659208785</v>
      </c>
      <c r="X205" s="155">
        <f t="shared" si="93"/>
        <v>11.851730812593555</v>
      </c>
      <c r="Y205" s="208">
        <f t="shared" si="94"/>
        <v>84.375861704301272</v>
      </c>
      <c r="Z205" s="208">
        <f t="shared" si="102"/>
        <v>107.60618707373024</v>
      </c>
    </row>
    <row r="206" spans="1:26" s="108" customFormat="1">
      <c r="A206" s="150">
        <v>3.5</v>
      </c>
      <c r="B206" s="151">
        <f t="shared" si="103"/>
        <v>3.3384410389041097</v>
      </c>
      <c r="C206" s="152">
        <f t="shared" si="95"/>
        <v>6.8428571428571434</v>
      </c>
      <c r="D206" s="152">
        <f t="shared" si="16"/>
        <v>7.1428571428571432</v>
      </c>
      <c r="E206" s="153">
        <f t="shared" si="96"/>
        <v>117.11802516701371</v>
      </c>
      <c r="F206" s="154">
        <f t="shared" si="80"/>
        <v>156.63629705524593</v>
      </c>
      <c r="G206" s="155">
        <f t="shared" si="97"/>
        <v>110.05343659208785</v>
      </c>
      <c r="H206" s="155">
        <f t="shared" si="81"/>
        <v>22.978765486836437</v>
      </c>
      <c r="I206" s="206">
        <f t="shared" si="82"/>
        <v>43.51843882008621</v>
      </c>
      <c r="J206" s="206">
        <f t="shared" si="98"/>
        <v>58.202544831873205</v>
      </c>
      <c r="K206" s="155">
        <f t="shared" si="83"/>
        <v>115.61900199661888</v>
      </c>
      <c r="L206" s="155">
        <f t="shared" si="84"/>
        <v>12.995907253127966</v>
      </c>
      <c r="M206" s="208">
        <f t="shared" si="85"/>
        <v>76.947301986886018</v>
      </c>
      <c r="N206" s="208">
        <f t="shared" si="99"/>
        <v>102.9110628737979</v>
      </c>
      <c r="O206" s="155">
        <f t="shared" si="86"/>
        <v>114.78497237279373</v>
      </c>
      <c r="P206" s="155">
        <f t="shared" si="87"/>
        <v>12.31915540451754</v>
      </c>
      <c r="Q206" s="208">
        <f t="shared" si="88"/>
        <v>81.174396065601329</v>
      </c>
      <c r="R206" s="208">
        <f t="shared" si="100"/>
        <v>108.56447414716872</v>
      </c>
      <c r="S206" s="155">
        <f t="shared" si="89"/>
        <v>111.09843999342976</v>
      </c>
      <c r="T206" s="155">
        <f t="shared" si="90"/>
        <v>12.048972186528301</v>
      </c>
      <c r="U206" s="208">
        <f t="shared" si="91"/>
        <v>82.994630954338049</v>
      </c>
      <c r="V206" s="208">
        <f t="shared" si="101"/>
        <v>110.99889747642061</v>
      </c>
      <c r="W206" s="155">
        <f t="shared" si="92"/>
        <v>110.05343659208785</v>
      </c>
      <c r="X206" s="155">
        <f t="shared" si="93"/>
        <v>12.046944788490581</v>
      </c>
      <c r="Y206" s="208">
        <f t="shared" si="94"/>
        <v>83.008598242716332</v>
      </c>
      <c r="Z206" s="208">
        <f t="shared" si="102"/>
        <v>111.01757764395551</v>
      </c>
    </row>
    <row r="207" spans="1:26" s="108" customFormat="1">
      <c r="A207" s="150">
        <v>3.6</v>
      </c>
      <c r="B207" s="151">
        <f t="shared" si="103"/>
        <v>3.3384410389041097</v>
      </c>
      <c r="C207" s="152">
        <f t="shared" si="95"/>
        <v>6.8428571428571434</v>
      </c>
      <c r="D207" s="152">
        <f>$C207+$E$13</f>
        <v>7.1428571428571432</v>
      </c>
      <c r="E207" s="153">
        <f t="shared" si="96"/>
        <v>117.11802516701371</v>
      </c>
      <c r="F207" s="154">
        <f t="shared" si="80"/>
        <v>156.63629705524593</v>
      </c>
      <c r="G207" s="155">
        <f t="shared" si="97"/>
        <v>110.05343659208785</v>
      </c>
      <c r="H207" s="155">
        <f t="shared" si="81"/>
        <v>22.978765486836437</v>
      </c>
      <c r="I207" s="206">
        <f t="shared" si="82"/>
        <v>43.51843882008621</v>
      </c>
      <c r="J207" s="206">
        <f t="shared" si="98"/>
        <v>58.202544831873205</v>
      </c>
      <c r="K207" s="155">
        <f t="shared" si="83"/>
        <v>115.61900199661888</v>
      </c>
      <c r="L207" s="155">
        <f t="shared" si="84"/>
        <v>12.995907253127966</v>
      </c>
      <c r="M207" s="208">
        <f t="shared" si="85"/>
        <v>76.947301986886018</v>
      </c>
      <c r="N207" s="208">
        <f t="shared" si="99"/>
        <v>102.9110628737979</v>
      </c>
      <c r="O207" s="155">
        <f t="shared" si="86"/>
        <v>114.78497237279373</v>
      </c>
      <c r="P207" s="155">
        <f t="shared" si="87"/>
        <v>12.31915540451754</v>
      </c>
      <c r="Q207" s="208">
        <f t="shared" si="88"/>
        <v>81.174396065601329</v>
      </c>
      <c r="R207" s="208">
        <f t="shared" si="100"/>
        <v>108.56447414716872</v>
      </c>
      <c r="S207" s="155">
        <f t="shared" si="89"/>
        <v>111.09843999342976</v>
      </c>
      <c r="T207" s="155">
        <f t="shared" si="90"/>
        <v>12.048972186528301</v>
      </c>
      <c r="U207" s="208">
        <f t="shared" si="91"/>
        <v>82.994630954338049</v>
      </c>
      <c r="V207" s="208">
        <f t="shared" si="101"/>
        <v>110.99889747642061</v>
      </c>
      <c r="W207" s="155">
        <f t="shared" si="92"/>
        <v>110.05343659208785</v>
      </c>
      <c r="X207" s="155">
        <f t="shared" si="93"/>
        <v>12.046944788490581</v>
      </c>
      <c r="Y207" s="208">
        <f t="shared" si="94"/>
        <v>83.008598242716332</v>
      </c>
      <c r="Z207" s="208">
        <f t="shared" si="102"/>
        <v>111.01757764395551</v>
      </c>
    </row>
    <row r="208" spans="1:26" s="108" customFormat="1">
      <c r="A208" s="168"/>
      <c r="B208" s="168"/>
      <c r="C208" s="168"/>
      <c r="D208" s="168"/>
      <c r="E208" s="168"/>
      <c r="F208" s="168"/>
      <c r="G208" s="168"/>
      <c r="I208" s="168">
        <v>0</v>
      </c>
      <c r="J208" s="171">
        <f>J204</f>
        <v>54.53141187915903</v>
      </c>
      <c r="K208" s="168"/>
    </row>
    <row r="209" spans="1:26" ht="15.6" customHeight="1">
      <c r="A209" s="1"/>
      <c r="B209" s="3"/>
      <c r="C209" s="3"/>
      <c r="D209" s="3"/>
      <c r="E209" s="3"/>
      <c r="F209" s="3"/>
      <c r="G209" s="3"/>
      <c r="H209" s="3"/>
      <c r="I209" s="3"/>
      <c r="J209" s="3"/>
      <c r="K209" s="3"/>
    </row>
    <row r="211" spans="1:26" ht="21">
      <c r="A211" s="205" t="s">
        <v>425</v>
      </c>
      <c r="G211">
        <v>65</v>
      </c>
      <c r="K211">
        <v>90</v>
      </c>
      <c r="L211">
        <f>ROUND(K211*SQRT(2),0)</f>
        <v>127</v>
      </c>
      <c r="O211">
        <v>100</v>
      </c>
      <c r="P211">
        <f>ROUND(O211*SQRT(2),0)</f>
        <v>141</v>
      </c>
      <c r="S211">
        <v>115</v>
      </c>
      <c r="T211">
        <f>ROUND(S211*SQRT(2),0)</f>
        <v>163</v>
      </c>
      <c r="W211">
        <v>135</v>
      </c>
      <c r="X211">
        <f>ROUND(W211*SQRT(2),0)</f>
        <v>191</v>
      </c>
    </row>
    <row r="212" spans="1:26" s="108" customFormat="1" ht="16.2" customHeight="1">
      <c r="A212" s="245" t="s">
        <v>4</v>
      </c>
      <c r="B212" s="247" t="s">
        <v>27</v>
      </c>
      <c r="C212" s="245" t="s">
        <v>33</v>
      </c>
      <c r="D212" s="245" t="s">
        <v>26</v>
      </c>
      <c r="E212" s="174" t="s">
        <v>2</v>
      </c>
      <c r="F212" s="175"/>
      <c r="G212" s="249" t="str">
        <f>CONCATENATE("VBULK_Min, ", TEXT(G211,0), "VDC")</f>
        <v>VBULK_Min, 65VDC</v>
      </c>
      <c r="H212" s="250"/>
      <c r="I212" s="250"/>
      <c r="J212" s="251"/>
      <c r="K212" s="249" t="str">
        <f>CONCATENATE("Peak at ", TEXT(K211,0),"VAC ")</f>
        <v xml:space="preserve">Peak at 90VAC </v>
      </c>
      <c r="L212" s="250"/>
      <c r="M212" s="250"/>
      <c r="N212" s="251"/>
      <c r="O212" s="249" t="str">
        <f>CONCATENATE("Peak at ", TEXT(O211,0),"VAC ")</f>
        <v xml:space="preserve">Peak at 100VAC </v>
      </c>
      <c r="P212" s="250"/>
      <c r="Q212" s="250"/>
      <c r="R212" s="251"/>
      <c r="S212" s="249" t="str">
        <f>CONCATENATE("Peak at ", TEXT(S211,0),"VAC ")</f>
        <v xml:space="preserve">Peak at 115VAC </v>
      </c>
      <c r="T212" s="250"/>
      <c r="U212" s="250"/>
      <c r="V212" s="251"/>
      <c r="W212" s="249" t="str">
        <f>CONCATENATE("Peak at ", TEXT(W211,0),"VAC ")</f>
        <v xml:space="preserve">Peak at 135VAC </v>
      </c>
      <c r="X212" s="250"/>
      <c r="Y212" s="250"/>
      <c r="Z212" s="251"/>
    </row>
    <row r="213" spans="1:26" s="108" customFormat="1" ht="55.2">
      <c r="A213" s="246"/>
      <c r="B213" s="248"/>
      <c r="C213" s="246"/>
      <c r="D213" s="246"/>
      <c r="E213" s="149" t="s">
        <v>359</v>
      </c>
      <c r="F213" s="149" t="s">
        <v>363</v>
      </c>
      <c r="G213" s="149" t="s">
        <v>3</v>
      </c>
      <c r="H213" s="149" t="s">
        <v>423</v>
      </c>
      <c r="I213" s="149" t="s">
        <v>361</v>
      </c>
      <c r="J213" s="149" t="s">
        <v>424</v>
      </c>
      <c r="K213" s="149" t="s">
        <v>3</v>
      </c>
      <c r="L213" s="149" t="s">
        <v>362</v>
      </c>
      <c r="M213" s="149" t="s">
        <v>361</v>
      </c>
      <c r="N213" s="149" t="s">
        <v>360</v>
      </c>
      <c r="O213" s="149" t="s">
        <v>3</v>
      </c>
      <c r="P213" s="149" t="s">
        <v>362</v>
      </c>
      <c r="Q213" s="149" t="s">
        <v>361</v>
      </c>
      <c r="R213" s="149" t="s">
        <v>360</v>
      </c>
      <c r="S213" s="149" t="s">
        <v>3</v>
      </c>
      <c r="T213" s="149" t="s">
        <v>362</v>
      </c>
      <c r="U213" s="149" t="s">
        <v>361</v>
      </c>
      <c r="V213" s="149" t="s">
        <v>360</v>
      </c>
      <c r="W213" s="149" t="s">
        <v>3</v>
      </c>
      <c r="X213" s="149" t="s">
        <v>362</v>
      </c>
      <c r="Y213" s="149" t="s">
        <v>361</v>
      </c>
      <c r="Z213" s="149" t="s">
        <v>360</v>
      </c>
    </row>
    <row r="214" spans="1:26" s="108" customFormat="1">
      <c r="A214" s="150">
        <v>0.6</v>
      </c>
      <c r="B214" s="151">
        <f>(MIN($A214*$B$16,$E$16)-$E$23)/$E$3</f>
        <v>0.51491162713940397</v>
      </c>
      <c r="C214" s="152">
        <f>IF($A214&lt;$A$13,$H$13,IF($A214&gt;$B$13,$F$13,$F$13*($G$13-(($A214-$A$13)*($G$13-1)/($B$13-$A$13)))))</f>
        <v>54.742857142857147</v>
      </c>
      <c r="D214" s="152">
        <f>$C214+$E$13</f>
        <v>55.042857142857144</v>
      </c>
      <c r="E214" s="153">
        <f>IF((1000/D214)&lt;$J$13,$J$13,1000/(D214+0.5))</f>
        <v>22</v>
      </c>
      <c r="F214" s="154">
        <f t="shared" ref="F214:F245" si="104">(0.5*Lm*$B214*$B214*$E214*0.001)</f>
        <v>0.69995371713524024</v>
      </c>
      <c r="G214" s="155">
        <f>IF((1000/$D214)&lt;$J$13,$J$13,1000/($D214+0.5))</f>
        <v>22</v>
      </c>
      <c r="H214" s="155">
        <f t="shared" ref="H214:H245" si="105">($B214*Lm/G$211)+($B214*Lm/VOR)+0.5</f>
        <v>3.3518182426182372</v>
      </c>
      <c r="I214" s="208">
        <f>MIN(G214,1000/H214)</f>
        <v>22</v>
      </c>
      <c r="J214" s="208">
        <f>0.5*Lm*$B214*$B214*I214*0.001</f>
        <v>0.69995371713524024</v>
      </c>
      <c r="K214" s="155">
        <f>IF((1000/$D214)&lt;$J$13,$J$13,1000/($D214+0.5))</f>
        <v>22</v>
      </c>
      <c r="L214" s="155">
        <f t="shared" ref="L214:L245" si="106">($B214*Lm/L$211)+($B214*Lm/VOR)+0.5</f>
        <v>2.423667423498391</v>
      </c>
      <c r="M214" s="208">
        <f>MIN(K214,1000/L214)</f>
        <v>22</v>
      </c>
      <c r="N214" s="208">
        <f>0.5*$A$3*$B214*$B214*M214*0.001</f>
        <v>0.69995371713524024</v>
      </c>
      <c r="O214" s="155">
        <f>IF((1000/$D214)&lt;$J$13,$J$13,1000/($D214+0.5))</f>
        <v>22</v>
      </c>
      <c r="P214" s="155">
        <f t="shared" ref="P214:P245" si="107">($B214*Lm/P$211)+($B214*Lm/VOR)+0.5</f>
        <v>2.3270514036632206</v>
      </c>
      <c r="Q214" s="208">
        <f>MIN(O214,1000/P214)</f>
        <v>22</v>
      </c>
      <c r="R214" s="208">
        <f>0.5*$A$3*$B214*$B214*Q214*0.001</f>
        <v>0.69995371713524024</v>
      </c>
      <c r="S214" s="155">
        <f>IF((1000/$D214)&lt;$J$13,$J$13,1000/($D214+0.5))</f>
        <v>22</v>
      </c>
      <c r="T214" s="155">
        <f t="shared" ref="T214:T245" si="108">($B214*Lm/T$211)+($B214*Lm/VOR)+0.5</f>
        <v>2.2087581699123588</v>
      </c>
      <c r="U214" s="208">
        <f>MIN(S214,1000/T214)</f>
        <v>22</v>
      </c>
      <c r="V214" s="208">
        <f>0.5*$A$3*$B214*$B214*U214*0.001</f>
        <v>0.69995371713524024</v>
      </c>
      <c r="W214" s="155">
        <f>IF((1000/$D214)&lt;$J$13,$J$13,1000/($D214+0.5))</f>
        <v>22</v>
      </c>
      <c r="X214" s="155">
        <f t="shared" ref="X214:X245" si="109">($B214*Lm/X$211)+($B214*Lm/VOR)+0.5</f>
        <v>2.0976154552887509</v>
      </c>
      <c r="Y214" s="208">
        <f>MIN(W214,1000/X214)</f>
        <v>22</v>
      </c>
      <c r="Z214" s="208">
        <f>0.5*$A$3*$B214*$B214*Y214*0.001</f>
        <v>0.69995371713524024</v>
      </c>
    </row>
    <row r="215" spans="1:26" s="108" customFormat="1">
      <c r="A215" s="150">
        <v>0.7</v>
      </c>
      <c r="B215" s="151">
        <f>(MIN($A215*$B$16,$E$16)-$E$23)/$E$3</f>
        <v>0.61295084282567847</v>
      </c>
      <c r="C215" s="152">
        <f t="shared" ref="C215:C278" si="110">IF($A215&lt;$A$13,$H$13,IF($A215&gt;$B$13,$F$13,$F$13*($G$13-(($A215-$A$13)*($G$13-1)/($B$13-$A$13)))))</f>
        <v>54.742857142857147</v>
      </c>
      <c r="D215" s="152">
        <f t="shared" ref="D215:D278" si="111">$C215+$E$13</f>
        <v>55.042857142857144</v>
      </c>
      <c r="E215" s="153">
        <f t="shared" ref="E215:E278" si="112">IF((1000/D215)&lt;$J$13,$J$13,1000/(D215+0.5))</f>
        <v>22</v>
      </c>
      <c r="F215" s="154">
        <f t="shared" si="104"/>
        <v>0.99187106230267319</v>
      </c>
      <c r="G215" s="155">
        <f t="shared" ref="G215:G278" si="113">IF((1000/$D215)&lt;$J$13,$J$13,1000/($D215+0.5))</f>
        <v>22</v>
      </c>
      <c r="H215" s="155">
        <f t="shared" si="105"/>
        <v>3.8948046679576036</v>
      </c>
      <c r="I215" s="208">
        <f>MIN(G215,1000/H215)</f>
        <v>22</v>
      </c>
      <c r="J215" s="208">
        <f t="shared" ref="J215" si="114">0.5*$A$3*$B215*$B215*I215*0.001</f>
        <v>0.99187106230267319</v>
      </c>
      <c r="K215" s="155">
        <f t="shared" ref="K215:K278" si="115">IF((1000/$D215)&lt;$J$13,$J$13,1000/($D215+0.5))</f>
        <v>22</v>
      </c>
      <c r="L215" s="155">
        <f t="shared" si="106"/>
        <v>2.7899338573887249</v>
      </c>
      <c r="M215" s="208">
        <f>MIN(K215,1000/L215)</f>
        <v>22</v>
      </c>
      <c r="N215" s="208">
        <f t="shared" ref="N215:N216" si="116">0.5*$A$3*$B215*$B215*M215*0.001</f>
        <v>0.99187106230267319</v>
      </c>
      <c r="O215" s="155">
        <f t="shared" ref="O215:O278" si="117">IF((1000/$D215)&lt;$J$13,$J$13,1000/($D215+0.5))</f>
        <v>22</v>
      </c>
      <c r="P215" s="155">
        <f t="shared" si="107"/>
        <v>2.6749221395189373</v>
      </c>
      <c r="Q215" s="208">
        <f>MIN(O215,1000/P215)</f>
        <v>22</v>
      </c>
      <c r="R215" s="208">
        <f t="shared" ref="R215:R216" si="118">0.5*$A$3*$B215*$B215*Q215*0.001</f>
        <v>0.99187106230267319</v>
      </c>
      <c r="S215" s="155">
        <f t="shared" ref="S215:S278" si="119">IF((1000/$D215)&lt;$J$13,$J$13,1000/($D215+0.5))</f>
        <v>22</v>
      </c>
      <c r="T215" s="155">
        <f t="shared" si="108"/>
        <v>2.5341058644408543</v>
      </c>
      <c r="U215" s="208">
        <f>MIN(S215,1000/T215)</f>
        <v>22</v>
      </c>
      <c r="V215" s="208">
        <f t="shared" ref="V215:V216" si="120">0.5*$A$3*$B215*$B215*U215*0.001</f>
        <v>0.99187106230267319</v>
      </c>
      <c r="W215" s="155">
        <f t="shared" ref="W215:W278" si="121">IF((1000/$D215)&lt;$J$13,$J$13,1000/($D215+0.5))</f>
        <v>22</v>
      </c>
      <c r="X215" s="155">
        <f t="shared" si="109"/>
        <v>2.4018015679134219</v>
      </c>
      <c r="Y215" s="208">
        <f>MIN(W215,1000/X215)</f>
        <v>22</v>
      </c>
      <c r="Z215" s="208">
        <f t="shared" ref="Z215:Z216" si="122">0.5*$A$3*$B215*$B215*Y215*0.001</f>
        <v>0.99187106230267319</v>
      </c>
    </row>
    <row r="216" spans="1:26">
      <c r="A216" s="150">
        <v>0.8</v>
      </c>
      <c r="B216" s="151">
        <f t="shared" ref="B216:B279" si="123">(MIN($A216*$B$16,$E$16)-$E$23)/$E$3</f>
        <v>0.71099005851195296</v>
      </c>
      <c r="C216" s="152">
        <f t="shared" si="110"/>
        <v>54.742857142857147</v>
      </c>
      <c r="D216" s="152">
        <f t="shared" si="111"/>
        <v>55.042857142857144</v>
      </c>
      <c r="E216" s="153">
        <f t="shared" si="112"/>
        <v>22</v>
      </c>
      <c r="F216" s="154">
        <f t="shared" si="104"/>
        <v>1.3345381191194721</v>
      </c>
      <c r="G216" s="155">
        <f t="shared" si="113"/>
        <v>22</v>
      </c>
      <c r="H216" s="155">
        <f t="shared" si="105"/>
        <v>4.43779109329697</v>
      </c>
      <c r="I216" s="208">
        <f t="shared" ref="I216:I279" si="124">MIN(G216,1000/H216)</f>
        <v>22</v>
      </c>
      <c r="J216" s="208">
        <f>0.5*Lm*$B216*$B216*I216*0.001</f>
        <v>1.3345381191194721</v>
      </c>
      <c r="K216" s="155">
        <f t="shared" si="115"/>
        <v>22</v>
      </c>
      <c r="L216" s="155">
        <f t="shared" si="106"/>
        <v>3.1562002912790588</v>
      </c>
      <c r="M216" s="208">
        <f t="shared" ref="M216:M279" si="125">MIN(K216,1000/L216)</f>
        <v>22</v>
      </c>
      <c r="N216" s="208">
        <f t="shared" si="116"/>
        <v>1.3345381191194721</v>
      </c>
      <c r="O216" s="155">
        <f t="shared" si="117"/>
        <v>22</v>
      </c>
      <c r="P216" s="155">
        <f t="shared" si="107"/>
        <v>3.0227928753746545</v>
      </c>
      <c r="Q216" s="208">
        <f t="shared" ref="Q216:Q279" si="126">MIN(O216,1000/P216)</f>
        <v>22</v>
      </c>
      <c r="R216" s="208">
        <f t="shared" si="118"/>
        <v>1.3345381191194721</v>
      </c>
      <c r="S216" s="155">
        <f t="shared" si="119"/>
        <v>22</v>
      </c>
      <c r="T216" s="155">
        <f t="shared" si="108"/>
        <v>2.8594535589693502</v>
      </c>
      <c r="U216" s="208">
        <f t="shared" ref="U216:U279" si="127">MIN(S216,1000/T216)</f>
        <v>22</v>
      </c>
      <c r="V216" s="208">
        <f t="shared" si="120"/>
        <v>1.3345381191194721</v>
      </c>
      <c r="W216" s="155">
        <f t="shared" si="121"/>
        <v>22</v>
      </c>
      <c r="X216" s="155">
        <f t="shared" si="109"/>
        <v>2.7059876805380934</v>
      </c>
      <c r="Y216" s="208">
        <f t="shared" ref="Y216:Y279" si="128">MIN(W216,1000/X216)</f>
        <v>22</v>
      </c>
      <c r="Z216" s="208">
        <f t="shared" si="122"/>
        <v>1.3345381191194721</v>
      </c>
    </row>
    <row r="217" spans="1:26">
      <c r="A217" s="150">
        <v>0.9</v>
      </c>
      <c r="B217" s="151">
        <f t="shared" si="123"/>
        <v>0.80902927419822745</v>
      </c>
      <c r="C217" s="152">
        <f t="shared" si="110"/>
        <v>54.742857142857147</v>
      </c>
      <c r="D217" s="152">
        <f t="shared" si="111"/>
        <v>55.042857142857144</v>
      </c>
      <c r="E217" s="153">
        <f t="shared" si="112"/>
        <v>22</v>
      </c>
      <c r="F217" s="154">
        <f t="shared" si="104"/>
        <v>1.7279548875856363</v>
      </c>
      <c r="G217" s="155">
        <f t="shared" si="113"/>
        <v>22</v>
      </c>
      <c r="H217" s="155">
        <f t="shared" si="105"/>
        <v>4.9807775186363372</v>
      </c>
      <c r="I217" s="208">
        <f t="shared" si="124"/>
        <v>22</v>
      </c>
      <c r="J217" s="208">
        <f t="shared" ref="J217" si="129">0.5*$A$3*$B217*$B217*I217*0.001</f>
        <v>1.7279548875856363</v>
      </c>
      <c r="K217" s="155">
        <f t="shared" si="115"/>
        <v>22</v>
      </c>
      <c r="L217" s="155">
        <f t="shared" si="106"/>
        <v>3.5224667251693926</v>
      </c>
      <c r="M217" s="208">
        <f t="shared" si="125"/>
        <v>22</v>
      </c>
      <c r="N217" s="208">
        <f t="shared" ref="N217:N280" si="130">0.5*$A$3*$B217*$B217*M217*0.001</f>
        <v>1.7279548875856363</v>
      </c>
      <c r="O217" s="155">
        <f t="shared" si="117"/>
        <v>22</v>
      </c>
      <c r="P217" s="155">
        <f t="shared" si="107"/>
        <v>3.3706636112303716</v>
      </c>
      <c r="Q217" s="208">
        <f t="shared" si="126"/>
        <v>22</v>
      </c>
      <c r="R217" s="208">
        <f t="shared" ref="R217:R280" si="131">0.5*$A$3*$B217*$B217*Q217*0.001</f>
        <v>1.7279548875856363</v>
      </c>
      <c r="S217" s="155">
        <f t="shared" si="119"/>
        <v>22</v>
      </c>
      <c r="T217" s="155">
        <f t="shared" si="108"/>
        <v>3.184801253497846</v>
      </c>
      <c r="U217" s="208">
        <f t="shared" si="127"/>
        <v>22</v>
      </c>
      <c r="V217" s="208">
        <f t="shared" ref="V217:V280" si="132">0.5*$A$3*$B217*$B217*U217*0.001</f>
        <v>1.7279548875856363</v>
      </c>
      <c r="W217" s="155">
        <f t="shared" si="121"/>
        <v>22</v>
      </c>
      <c r="X217" s="155">
        <f t="shared" si="109"/>
        <v>3.0101737931627648</v>
      </c>
      <c r="Y217" s="208">
        <f t="shared" si="128"/>
        <v>22</v>
      </c>
      <c r="Z217" s="208">
        <f t="shared" ref="Z217:Z280" si="133">0.5*$A$3*$B217*$B217*Y217*0.001</f>
        <v>1.7279548875856363</v>
      </c>
    </row>
    <row r="218" spans="1:26">
      <c r="A218" s="150">
        <v>0.91</v>
      </c>
      <c r="B218" s="151">
        <f t="shared" si="123"/>
        <v>0.81883319576685498</v>
      </c>
      <c r="C218" s="152">
        <f t="shared" si="110"/>
        <v>54.742857142857147</v>
      </c>
      <c r="D218" s="152">
        <f t="shared" si="111"/>
        <v>55.042857142857144</v>
      </c>
      <c r="E218" s="153">
        <f t="shared" si="112"/>
        <v>22</v>
      </c>
      <c r="F218" s="154">
        <f t="shared" si="104"/>
        <v>1.7700877985729682</v>
      </c>
      <c r="G218" s="155">
        <f t="shared" si="113"/>
        <v>22</v>
      </c>
      <c r="H218" s="155">
        <f t="shared" si="105"/>
        <v>5.0350761611702737</v>
      </c>
      <c r="I218" s="208">
        <f t="shared" si="124"/>
        <v>22</v>
      </c>
      <c r="J218" s="208">
        <f>0.5*Lm*$B218*$B218*I218*0.001</f>
        <v>1.7700877985729682</v>
      </c>
      <c r="K218" s="155">
        <f t="shared" si="115"/>
        <v>22</v>
      </c>
      <c r="L218" s="155">
        <f t="shared" si="106"/>
        <v>3.5590933685584263</v>
      </c>
      <c r="M218" s="208">
        <f t="shared" si="125"/>
        <v>22</v>
      </c>
      <c r="N218" s="208">
        <f t="shared" si="130"/>
        <v>1.7700877985729682</v>
      </c>
      <c r="O218" s="155">
        <f t="shared" si="117"/>
        <v>22</v>
      </c>
      <c r="P218" s="155">
        <f t="shared" si="107"/>
        <v>3.4054506848159436</v>
      </c>
      <c r="Q218" s="208">
        <f t="shared" si="126"/>
        <v>22</v>
      </c>
      <c r="R218" s="208">
        <f t="shared" si="131"/>
        <v>1.7700877985729682</v>
      </c>
      <c r="S218" s="155">
        <f t="shared" si="119"/>
        <v>22</v>
      </c>
      <c r="T218" s="155">
        <f t="shared" si="108"/>
        <v>3.217336022950696</v>
      </c>
      <c r="U218" s="208">
        <f t="shared" si="127"/>
        <v>22</v>
      </c>
      <c r="V218" s="208">
        <f t="shared" si="132"/>
        <v>1.7700877985729682</v>
      </c>
      <c r="W218" s="155">
        <f t="shared" si="121"/>
        <v>22</v>
      </c>
      <c r="X218" s="155">
        <f t="shared" si="109"/>
        <v>3.0405924044252322</v>
      </c>
      <c r="Y218" s="208">
        <f t="shared" si="128"/>
        <v>22</v>
      </c>
      <c r="Z218" s="208">
        <f t="shared" si="133"/>
        <v>1.7700877985729682</v>
      </c>
    </row>
    <row r="219" spans="1:26">
      <c r="A219" s="150">
        <v>0.92</v>
      </c>
      <c r="B219" s="151">
        <f t="shared" si="123"/>
        <v>0.82863711733548229</v>
      </c>
      <c r="C219" s="152">
        <f t="shared" si="110"/>
        <v>54.742857142857147</v>
      </c>
      <c r="D219" s="152">
        <f t="shared" si="111"/>
        <v>55.042857142857144</v>
      </c>
      <c r="E219" s="153">
        <f t="shared" si="112"/>
        <v>22</v>
      </c>
      <c r="F219" s="154">
        <f t="shared" si="104"/>
        <v>1.8127282066767927</v>
      </c>
      <c r="G219" s="155">
        <f t="shared" si="113"/>
        <v>22</v>
      </c>
      <c r="H219" s="155">
        <f t="shared" si="105"/>
        <v>5.0893748037042101</v>
      </c>
      <c r="I219" s="208">
        <f t="shared" si="124"/>
        <v>22</v>
      </c>
      <c r="J219" s="208">
        <f t="shared" ref="J219" si="134">0.5*$A$3*$B219*$B219*I219*0.001</f>
        <v>1.8127282066767927</v>
      </c>
      <c r="K219" s="155">
        <f t="shared" si="115"/>
        <v>22</v>
      </c>
      <c r="L219" s="155">
        <f t="shared" si="106"/>
        <v>3.595720011947459</v>
      </c>
      <c r="M219" s="208">
        <f t="shared" si="125"/>
        <v>22</v>
      </c>
      <c r="N219" s="208">
        <f t="shared" si="130"/>
        <v>1.8127282066767927</v>
      </c>
      <c r="O219" s="155">
        <f t="shared" si="117"/>
        <v>22</v>
      </c>
      <c r="P219" s="155">
        <f t="shared" si="107"/>
        <v>3.4402377584015147</v>
      </c>
      <c r="Q219" s="208">
        <f t="shared" si="126"/>
        <v>22</v>
      </c>
      <c r="R219" s="208">
        <f t="shared" si="131"/>
        <v>1.8127282066767927</v>
      </c>
      <c r="S219" s="155">
        <f t="shared" si="119"/>
        <v>22</v>
      </c>
      <c r="T219" s="155">
        <f t="shared" si="108"/>
        <v>3.249870792403545</v>
      </c>
      <c r="U219" s="208">
        <f t="shared" si="127"/>
        <v>22</v>
      </c>
      <c r="V219" s="208">
        <f t="shared" si="132"/>
        <v>1.8127282066767927</v>
      </c>
      <c r="W219" s="155">
        <f t="shared" si="121"/>
        <v>22</v>
      </c>
      <c r="X219" s="155">
        <f t="shared" si="109"/>
        <v>3.0710110156876986</v>
      </c>
      <c r="Y219" s="208">
        <f t="shared" si="128"/>
        <v>22</v>
      </c>
      <c r="Z219" s="208">
        <f t="shared" si="133"/>
        <v>1.8127282066767927</v>
      </c>
    </row>
    <row r="220" spans="1:26">
      <c r="A220" s="150">
        <v>0.93</v>
      </c>
      <c r="B220" s="151">
        <f t="shared" si="123"/>
        <v>0.83844103890410981</v>
      </c>
      <c r="C220" s="152">
        <f t="shared" si="110"/>
        <v>54.742857142857147</v>
      </c>
      <c r="D220" s="152">
        <f t="shared" si="111"/>
        <v>55.042857142857144</v>
      </c>
      <c r="E220" s="153">
        <f t="shared" si="112"/>
        <v>22</v>
      </c>
      <c r="F220" s="154">
        <f t="shared" si="104"/>
        <v>1.8558761118971119</v>
      </c>
      <c r="G220" s="155">
        <f t="shared" si="113"/>
        <v>22</v>
      </c>
      <c r="H220" s="155">
        <f t="shared" si="105"/>
        <v>5.1436734462381466</v>
      </c>
      <c r="I220" s="208">
        <f t="shared" si="124"/>
        <v>22</v>
      </c>
      <c r="J220" s="208">
        <f>0.5*Lm*$B220*$B220*I220*0.001</f>
        <v>1.8558761118971119</v>
      </c>
      <c r="K220" s="155">
        <f t="shared" si="115"/>
        <v>22</v>
      </c>
      <c r="L220" s="155">
        <f t="shared" si="106"/>
        <v>3.6323466553364927</v>
      </c>
      <c r="M220" s="208">
        <f t="shared" si="125"/>
        <v>22</v>
      </c>
      <c r="N220" s="208">
        <f t="shared" si="130"/>
        <v>1.8558761118971119</v>
      </c>
      <c r="O220" s="155">
        <f t="shared" si="117"/>
        <v>22</v>
      </c>
      <c r="P220" s="155">
        <f t="shared" si="107"/>
        <v>3.4750248319870867</v>
      </c>
      <c r="Q220" s="208">
        <f t="shared" si="126"/>
        <v>22</v>
      </c>
      <c r="R220" s="208">
        <f t="shared" si="131"/>
        <v>1.8558761118971119</v>
      </c>
      <c r="S220" s="155">
        <f t="shared" si="119"/>
        <v>22</v>
      </c>
      <c r="T220" s="155">
        <f t="shared" si="108"/>
        <v>3.282405561856395</v>
      </c>
      <c r="U220" s="208">
        <f t="shared" si="127"/>
        <v>22</v>
      </c>
      <c r="V220" s="208">
        <f t="shared" si="132"/>
        <v>1.8558761118971119</v>
      </c>
      <c r="W220" s="155">
        <f t="shared" si="121"/>
        <v>22</v>
      </c>
      <c r="X220" s="155">
        <f t="shared" si="109"/>
        <v>3.101429626950166</v>
      </c>
      <c r="Y220" s="208">
        <f t="shared" si="128"/>
        <v>22</v>
      </c>
      <c r="Z220" s="208">
        <f t="shared" si="133"/>
        <v>1.8558761118971119</v>
      </c>
    </row>
    <row r="221" spans="1:26">
      <c r="A221" s="150">
        <v>0.94</v>
      </c>
      <c r="B221" s="151">
        <f t="shared" si="123"/>
        <v>0.84824496047273723</v>
      </c>
      <c r="C221" s="152">
        <f t="shared" si="110"/>
        <v>54.742857142857147</v>
      </c>
      <c r="D221" s="152">
        <f t="shared" si="111"/>
        <v>55.042857142857144</v>
      </c>
      <c r="E221" s="153">
        <f t="shared" si="112"/>
        <v>22</v>
      </c>
      <c r="F221" s="154">
        <f t="shared" si="104"/>
        <v>1.8995315142339242</v>
      </c>
      <c r="G221" s="155">
        <f t="shared" si="113"/>
        <v>22</v>
      </c>
      <c r="H221" s="155">
        <f t="shared" si="105"/>
        <v>5.1979720887720831</v>
      </c>
      <c r="I221" s="208">
        <f t="shared" si="124"/>
        <v>22</v>
      </c>
      <c r="J221" s="208">
        <f t="shared" ref="J221" si="135">0.5*$A$3*$B221*$B221*I221*0.001</f>
        <v>1.8995315142339242</v>
      </c>
      <c r="K221" s="155">
        <f t="shared" si="115"/>
        <v>22</v>
      </c>
      <c r="L221" s="155">
        <f t="shared" si="106"/>
        <v>3.6689732987255259</v>
      </c>
      <c r="M221" s="208">
        <f t="shared" si="125"/>
        <v>22</v>
      </c>
      <c r="N221" s="208">
        <f t="shared" si="130"/>
        <v>1.8995315142339242</v>
      </c>
      <c r="O221" s="155">
        <f t="shared" si="117"/>
        <v>22</v>
      </c>
      <c r="P221" s="155">
        <f t="shared" si="107"/>
        <v>3.5098119055726587</v>
      </c>
      <c r="Q221" s="208">
        <f t="shared" si="126"/>
        <v>22</v>
      </c>
      <c r="R221" s="208">
        <f t="shared" si="131"/>
        <v>1.8995315142339242</v>
      </c>
      <c r="S221" s="155">
        <f t="shared" si="119"/>
        <v>22</v>
      </c>
      <c r="T221" s="155">
        <f t="shared" si="108"/>
        <v>3.314940331309244</v>
      </c>
      <c r="U221" s="208">
        <f t="shared" si="127"/>
        <v>22</v>
      </c>
      <c r="V221" s="208">
        <f t="shared" si="132"/>
        <v>1.8995315142339242</v>
      </c>
      <c r="W221" s="155">
        <f t="shared" si="121"/>
        <v>22</v>
      </c>
      <c r="X221" s="155">
        <f t="shared" si="109"/>
        <v>3.1318482382126329</v>
      </c>
      <c r="Y221" s="208">
        <f t="shared" si="128"/>
        <v>22</v>
      </c>
      <c r="Z221" s="208">
        <f t="shared" si="133"/>
        <v>1.8995315142339242</v>
      </c>
    </row>
    <row r="222" spans="1:26">
      <c r="A222" s="150">
        <v>0.95</v>
      </c>
      <c r="B222" s="151">
        <f t="shared" si="123"/>
        <v>0.85804888204136476</v>
      </c>
      <c r="C222" s="152">
        <f t="shared" si="110"/>
        <v>54.742857142857147</v>
      </c>
      <c r="D222" s="152">
        <f t="shared" si="111"/>
        <v>55.042857142857144</v>
      </c>
      <c r="E222" s="153">
        <f t="shared" si="112"/>
        <v>22</v>
      </c>
      <c r="F222" s="154">
        <f t="shared" si="104"/>
        <v>1.9436944136872309</v>
      </c>
      <c r="G222" s="155">
        <f t="shared" si="113"/>
        <v>22</v>
      </c>
      <c r="H222" s="155">
        <f t="shared" si="105"/>
        <v>5.2522707313060204</v>
      </c>
      <c r="I222" s="208">
        <f t="shared" si="124"/>
        <v>22</v>
      </c>
      <c r="J222" s="208">
        <f>0.5*Lm*$B222*$B222*I222*0.001</f>
        <v>1.9436944136872309</v>
      </c>
      <c r="K222" s="155">
        <f t="shared" si="115"/>
        <v>22</v>
      </c>
      <c r="L222" s="155">
        <f t="shared" si="106"/>
        <v>3.7055999421145596</v>
      </c>
      <c r="M222" s="208">
        <f t="shared" si="125"/>
        <v>22</v>
      </c>
      <c r="N222" s="208">
        <f t="shared" si="130"/>
        <v>1.9436944136872309</v>
      </c>
      <c r="O222" s="155">
        <f t="shared" si="117"/>
        <v>22</v>
      </c>
      <c r="P222" s="155">
        <f t="shared" si="107"/>
        <v>3.5445989791582306</v>
      </c>
      <c r="Q222" s="208">
        <f t="shared" si="126"/>
        <v>22</v>
      </c>
      <c r="R222" s="208">
        <f t="shared" si="131"/>
        <v>1.9436944136872309</v>
      </c>
      <c r="S222" s="155">
        <f t="shared" si="119"/>
        <v>22</v>
      </c>
      <c r="T222" s="155">
        <f t="shared" si="108"/>
        <v>3.347475100762094</v>
      </c>
      <c r="U222" s="208">
        <f t="shared" si="127"/>
        <v>22</v>
      </c>
      <c r="V222" s="208">
        <f t="shared" si="132"/>
        <v>1.9436944136872309</v>
      </c>
      <c r="W222" s="155">
        <f t="shared" si="121"/>
        <v>22</v>
      </c>
      <c r="X222" s="155">
        <f t="shared" si="109"/>
        <v>3.1622668494751007</v>
      </c>
      <c r="Y222" s="208">
        <f t="shared" si="128"/>
        <v>22</v>
      </c>
      <c r="Z222" s="208">
        <f t="shared" si="133"/>
        <v>1.9436944136872309</v>
      </c>
    </row>
    <row r="223" spans="1:26">
      <c r="A223" s="150">
        <v>0.96</v>
      </c>
      <c r="B223" s="151">
        <f t="shared" si="123"/>
        <v>0.86785280360999206</v>
      </c>
      <c r="C223" s="152">
        <f t="shared" si="110"/>
        <v>54.742857142857147</v>
      </c>
      <c r="D223" s="152">
        <f t="shared" si="111"/>
        <v>55.042857142857144</v>
      </c>
      <c r="E223" s="153">
        <f t="shared" si="112"/>
        <v>22</v>
      </c>
      <c r="F223" s="154">
        <f t="shared" si="104"/>
        <v>1.9883648102570302</v>
      </c>
      <c r="G223" s="155">
        <f t="shared" si="113"/>
        <v>22</v>
      </c>
      <c r="H223" s="155">
        <f t="shared" si="105"/>
        <v>5.306569373839956</v>
      </c>
      <c r="I223" s="208">
        <f t="shared" si="124"/>
        <v>22</v>
      </c>
      <c r="J223" s="208">
        <f t="shared" ref="J223" si="136">0.5*$A$3*$B223*$B223*I223*0.001</f>
        <v>1.9883648102570302</v>
      </c>
      <c r="K223" s="155">
        <f t="shared" si="115"/>
        <v>22</v>
      </c>
      <c r="L223" s="155">
        <f t="shared" si="106"/>
        <v>3.7422265855035928</v>
      </c>
      <c r="M223" s="208">
        <f t="shared" si="125"/>
        <v>22</v>
      </c>
      <c r="N223" s="208">
        <f t="shared" si="130"/>
        <v>1.9883648102570302</v>
      </c>
      <c r="O223" s="155">
        <f t="shared" si="117"/>
        <v>22</v>
      </c>
      <c r="P223" s="155">
        <f t="shared" si="107"/>
        <v>3.5793860527438017</v>
      </c>
      <c r="Q223" s="208">
        <f t="shared" si="126"/>
        <v>22</v>
      </c>
      <c r="R223" s="208">
        <f t="shared" si="131"/>
        <v>1.9883648102570302</v>
      </c>
      <c r="S223" s="155">
        <f t="shared" si="119"/>
        <v>22</v>
      </c>
      <c r="T223" s="155">
        <f t="shared" si="108"/>
        <v>3.380009870214943</v>
      </c>
      <c r="U223" s="208">
        <f t="shared" si="127"/>
        <v>22</v>
      </c>
      <c r="V223" s="208">
        <f t="shared" si="132"/>
        <v>1.9883648102570302</v>
      </c>
      <c r="W223" s="155">
        <f t="shared" si="121"/>
        <v>22</v>
      </c>
      <c r="X223" s="155">
        <f t="shared" si="109"/>
        <v>3.1926854607375672</v>
      </c>
      <c r="Y223" s="208">
        <f t="shared" si="128"/>
        <v>22</v>
      </c>
      <c r="Z223" s="208">
        <f t="shared" si="133"/>
        <v>1.9883648102570302</v>
      </c>
    </row>
    <row r="224" spans="1:26">
      <c r="A224" s="150">
        <v>0.97</v>
      </c>
      <c r="B224" s="151">
        <f t="shared" si="123"/>
        <v>0.87765672517861959</v>
      </c>
      <c r="C224" s="152">
        <f t="shared" si="110"/>
        <v>54.742857142857147</v>
      </c>
      <c r="D224" s="152">
        <f t="shared" si="111"/>
        <v>55.042857142857144</v>
      </c>
      <c r="E224" s="153">
        <f t="shared" si="112"/>
        <v>22</v>
      </c>
      <c r="F224" s="154">
        <f t="shared" si="104"/>
        <v>2.0335427039433238</v>
      </c>
      <c r="G224" s="155">
        <f t="shared" si="113"/>
        <v>22</v>
      </c>
      <c r="H224" s="155">
        <f t="shared" si="105"/>
        <v>5.3608680163738933</v>
      </c>
      <c r="I224" s="208">
        <f t="shared" si="124"/>
        <v>22</v>
      </c>
      <c r="J224" s="208">
        <f>0.5*Lm*$B224*$B224*I224*0.001</f>
        <v>2.0335427039433238</v>
      </c>
      <c r="K224" s="155">
        <f t="shared" si="115"/>
        <v>22</v>
      </c>
      <c r="L224" s="155">
        <f t="shared" si="106"/>
        <v>3.7788532288926264</v>
      </c>
      <c r="M224" s="208">
        <f t="shared" si="125"/>
        <v>22</v>
      </c>
      <c r="N224" s="208">
        <f t="shared" si="130"/>
        <v>2.0335427039433238</v>
      </c>
      <c r="O224" s="155">
        <f t="shared" si="117"/>
        <v>22</v>
      </c>
      <c r="P224" s="155">
        <f t="shared" si="107"/>
        <v>3.6141731263293737</v>
      </c>
      <c r="Q224" s="208">
        <f t="shared" si="126"/>
        <v>22</v>
      </c>
      <c r="R224" s="208">
        <f t="shared" si="131"/>
        <v>2.0335427039433238</v>
      </c>
      <c r="S224" s="155">
        <f t="shared" si="119"/>
        <v>22</v>
      </c>
      <c r="T224" s="155">
        <f t="shared" si="108"/>
        <v>3.412544639667793</v>
      </c>
      <c r="U224" s="208">
        <f t="shared" si="127"/>
        <v>22</v>
      </c>
      <c r="V224" s="208">
        <f t="shared" si="132"/>
        <v>2.0335427039433238</v>
      </c>
      <c r="W224" s="155">
        <f t="shared" si="121"/>
        <v>22</v>
      </c>
      <c r="X224" s="155">
        <f t="shared" si="109"/>
        <v>3.2231040720000346</v>
      </c>
      <c r="Y224" s="208">
        <f t="shared" si="128"/>
        <v>22</v>
      </c>
      <c r="Z224" s="208">
        <f t="shared" si="133"/>
        <v>2.0335427039433238</v>
      </c>
    </row>
    <row r="225" spans="1:26">
      <c r="A225" s="150">
        <v>0.98</v>
      </c>
      <c r="B225" s="151">
        <f t="shared" si="123"/>
        <v>0.88746064674724712</v>
      </c>
      <c r="C225" s="152">
        <f t="shared" si="110"/>
        <v>54.742857142857147</v>
      </c>
      <c r="D225" s="152">
        <f t="shared" si="111"/>
        <v>55.042857142857144</v>
      </c>
      <c r="E225" s="153">
        <f t="shared" si="112"/>
        <v>22</v>
      </c>
      <c r="F225" s="154">
        <f t="shared" si="104"/>
        <v>2.0792280947461115</v>
      </c>
      <c r="G225" s="155">
        <f t="shared" si="113"/>
        <v>22</v>
      </c>
      <c r="H225" s="155">
        <f t="shared" si="105"/>
        <v>5.4151666589078307</v>
      </c>
      <c r="I225" s="208">
        <f t="shared" si="124"/>
        <v>22</v>
      </c>
      <c r="J225" s="208">
        <f t="shared" ref="J225" si="137">0.5*$A$3*$B225*$B225*I225*0.001</f>
        <v>2.0792280947461115</v>
      </c>
      <c r="K225" s="155">
        <f t="shared" si="115"/>
        <v>22</v>
      </c>
      <c r="L225" s="155">
        <f t="shared" si="106"/>
        <v>3.8154798722816601</v>
      </c>
      <c r="M225" s="208">
        <f t="shared" si="125"/>
        <v>22</v>
      </c>
      <c r="N225" s="208">
        <f t="shared" si="130"/>
        <v>2.0792280947461115</v>
      </c>
      <c r="O225" s="155">
        <f t="shared" si="117"/>
        <v>22</v>
      </c>
      <c r="P225" s="155">
        <f t="shared" si="107"/>
        <v>3.6489601999149457</v>
      </c>
      <c r="Q225" s="208">
        <f t="shared" si="126"/>
        <v>22</v>
      </c>
      <c r="R225" s="208">
        <f t="shared" si="131"/>
        <v>2.0792280947461115</v>
      </c>
      <c r="S225" s="155">
        <f t="shared" si="119"/>
        <v>22</v>
      </c>
      <c r="T225" s="155">
        <f t="shared" si="108"/>
        <v>3.4450794091206429</v>
      </c>
      <c r="U225" s="208">
        <f t="shared" si="127"/>
        <v>22</v>
      </c>
      <c r="V225" s="208">
        <f t="shared" si="132"/>
        <v>2.0792280947461115</v>
      </c>
      <c r="W225" s="155">
        <f t="shared" si="121"/>
        <v>22</v>
      </c>
      <c r="X225" s="155">
        <f t="shared" si="109"/>
        <v>3.2535226832625019</v>
      </c>
      <c r="Y225" s="208">
        <f t="shared" si="128"/>
        <v>22</v>
      </c>
      <c r="Z225" s="208">
        <f t="shared" si="133"/>
        <v>2.0792280947461115</v>
      </c>
    </row>
    <row r="226" spans="1:26">
      <c r="A226" s="150">
        <v>0.99</v>
      </c>
      <c r="B226" s="151">
        <f t="shared" si="123"/>
        <v>0.89726456831587442</v>
      </c>
      <c r="C226" s="152">
        <f t="shared" si="110"/>
        <v>54.742857142857147</v>
      </c>
      <c r="D226" s="152">
        <f t="shared" si="111"/>
        <v>55.042857142857144</v>
      </c>
      <c r="E226" s="153">
        <f t="shared" si="112"/>
        <v>22</v>
      </c>
      <c r="F226" s="154">
        <f t="shared" si="104"/>
        <v>2.1254209826653914</v>
      </c>
      <c r="G226" s="155">
        <f t="shared" si="113"/>
        <v>22</v>
      </c>
      <c r="H226" s="155">
        <f t="shared" si="105"/>
        <v>5.4694653014417662</v>
      </c>
      <c r="I226" s="208">
        <f t="shared" si="124"/>
        <v>22</v>
      </c>
      <c r="J226" s="208">
        <f>0.5*Lm*$B226*$B226*I226*0.001</f>
        <v>2.1254209826653914</v>
      </c>
      <c r="K226" s="155">
        <f t="shared" si="115"/>
        <v>22</v>
      </c>
      <c r="L226" s="155">
        <f t="shared" si="106"/>
        <v>3.8521065156706928</v>
      </c>
      <c r="M226" s="208">
        <f t="shared" si="125"/>
        <v>22</v>
      </c>
      <c r="N226" s="208">
        <f t="shared" si="130"/>
        <v>2.1254209826653914</v>
      </c>
      <c r="O226" s="155">
        <f t="shared" si="117"/>
        <v>22</v>
      </c>
      <c r="P226" s="155">
        <f t="shared" si="107"/>
        <v>3.6837472735005168</v>
      </c>
      <c r="Q226" s="208">
        <f t="shared" si="126"/>
        <v>22</v>
      </c>
      <c r="R226" s="208">
        <f t="shared" si="131"/>
        <v>2.1254209826653914</v>
      </c>
      <c r="S226" s="155">
        <f t="shared" si="119"/>
        <v>22</v>
      </c>
      <c r="T226" s="155">
        <f t="shared" si="108"/>
        <v>3.477614178573492</v>
      </c>
      <c r="U226" s="208">
        <f t="shared" si="127"/>
        <v>22</v>
      </c>
      <c r="V226" s="208">
        <f t="shared" si="132"/>
        <v>2.1254209826653914</v>
      </c>
      <c r="W226" s="155">
        <f t="shared" si="121"/>
        <v>22</v>
      </c>
      <c r="X226" s="155">
        <f t="shared" si="109"/>
        <v>3.2839412945249684</v>
      </c>
      <c r="Y226" s="208">
        <f t="shared" si="128"/>
        <v>22</v>
      </c>
      <c r="Z226" s="208">
        <f t="shared" si="133"/>
        <v>2.1254209826653914</v>
      </c>
    </row>
    <row r="227" spans="1:26">
      <c r="A227" s="150">
        <v>1</v>
      </c>
      <c r="B227" s="151">
        <f t="shared" si="123"/>
        <v>0.90706848988450195</v>
      </c>
      <c r="C227" s="152">
        <f t="shared" si="110"/>
        <v>54.742857142857147</v>
      </c>
      <c r="D227" s="152">
        <f t="shared" si="111"/>
        <v>55.042857142857144</v>
      </c>
      <c r="E227" s="153">
        <f t="shared" si="112"/>
        <v>22</v>
      </c>
      <c r="F227" s="154">
        <f t="shared" si="104"/>
        <v>2.1721213677011662</v>
      </c>
      <c r="G227" s="155">
        <f t="shared" si="113"/>
        <v>22</v>
      </c>
      <c r="H227" s="155">
        <f t="shared" si="105"/>
        <v>5.5237639439757036</v>
      </c>
      <c r="I227" s="208">
        <f t="shared" si="124"/>
        <v>22</v>
      </c>
      <c r="J227" s="208">
        <f t="shared" ref="J227" si="138">0.5*$A$3*$B227*$B227*I227*0.001</f>
        <v>2.1721213677011662</v>
      </c>
      <c r="K227" s="155">
        <f t="shared" si="115"/>
        <v>22</v>
      </c>
      <c r="L227" s="155">
        <f t="shared" si="106"/>
        <v>3.8887331590597265</v>
      </c>
      <c r="M227" s="208">
        <f t="shared" si="125"/>
        <v>22</v>
      </c>
      <c r="N227" s="208">
        <f t="shared" si="130"/>
        <v>2.1721213677011662</v>
      </c>
      <c r="O227" s="155">
        <f t="shared" si="117"/>
        <v>22</v>
      </c>
      <c r="P227" s="155">
        <f t="shared" si="107"/>
        <v>3.7185343470860888</v>
      </c>
      <c r="Q227" s="208">
        <f t="shared" si="126"/>
        <v>22</v>
      </c>
      <c r="R227" s="208">
        <f t="shared" si="131"/>
        <v>2.1721213677011662</v>
      </c>
      <c r="S227" s="155">
        <f t="shared" si="119"/>
        <v>22</v>
      </c>
      <c r="T227" s="155">
        <f t="shared" si="108"/>
        <v>3.5101489480263419</v>
      </c>
      <c r="U227" s="208">
        <f t="shared" si="127"/>
        <v>22</v>
      </c>
      <c r="V227" s="208">
        <f t="shared" si="132"/>
        <v>2.1721213677011662</v>
      </c>
      <c r="W227" s="155">
        <f t="shared" si="121"/>
        <v>22</v>
      </c>
      <c r="X227" s="155">
        <f t="shared" si="109"/>
        <v>3.3143599057874358</v>
      </c>
      <c r="Y227" s="208">
        <f t="shared" si="128"/>
        <v>22</v>
      </c>
      <c r="Z227" s="208">
        <f t="shared" si="133"/>
        <v>2.1721213677011662</v>
      </c>
    </row>
    <row r="228" spans="1:26">
      <c r="A228" s="150">
        <v>1.01</v>
      </c>
      <c r="B228" s="151">
        <f t="shared" si="123"/>
        <v>0.91687241145312948</v>
      </c>
      <c r="C228" s="152">
        <f t="shared" si="110"/>
        <v>54.742857142857147</v>
      </c>
      <c r="D228" s="152">
        <f t="shared" si="111"/>
        <v>55.042857142857144</v>
      </c>
      <c r="E228" s="153">
        <f t="shared" si="112"/>
        <v>22</v>
      </c>
      <c r="F228" s="154">
        <f t="shared" si="104"/>
        <v>2.2193292498534349</v>
      </c>
      <c r="G228" s="155">
        <f t="shared" si="113"/>
        <v>22</v>
      </c>
      <c r="H228" s="155">
        <f t="shared" si="105"/>
        <v>5.57806258650964</v>
      </c>
      <c r="I228" s="208">
        <f t="shared" si="124"/>
        <v>22</v>
      </c>
      <c r="J228" s="208">
        <f>0.5*Lm*$B228*$B228*I228*0.001</f>
        <v>2.2193292498534349</v>
      </c>
      <c r="K228" s="155">
        <f t="shared" si="115"/>
        <v>22</v>
      </c>
      <c r="L228" s="155">
        <f t="shared" si="106"/>
        <v>3.9253598024487601</v>
      </c>
      <c r="M228" s="208">
        <f t="shared" si="125"/>
        <v>22</v>
      </c>
      <c r="N228" s="208">
        <f t="shared" si="130"/>
        <v>2.2193292498534349</v>
      </c>
      <c r="O228" s="155">
        <f t="shared" si="117"/>
        <v>22</v>
      </c>
      <c r="P228" s="155">
        <f t="shared" si="107"/>
        <v>3.7533214206716607</v>
      </c>
      <c r="Q228" s="208">
        <f t="shared" si="126"/>
        <v>22</v>
      </c>
      <c r="R228" s="208">
        <f t="shared" si="131"/>
        <v>2.2193292498534349</v>
      </c>
      <c r="S228" s="155">
        <f t="shared" si="119"/>
        <v>22</v>
      </c>
      <c r="T228" s="155">
        <f t="shared" si="108"/>
        <v>3.5426837174791914</v>
      </c>
      <c r="U228" s="208">
        <f t="shared" si="127"/>
        <v>22</v>
      </c>
      <c r="V228" s="208">
        <f t="shared" si="132"/>
        <v>2.2193292498534349</v>
      </c>
      <c r="W228" s="155">
        <f t="shared" si="121"/>
        <v>22</v>
      </c>
      <c r="X228" s="155">
        <f t="shared" si="109"/>
        <v>3.3447785170499031</v>
      </c>
      <c r="Y228" s="208">
        <f t="shared" si="128"/>
        <v>22</v>
      </c>
      <c r="Z228" s="208">
        <f t="shared" si="133"/>
        <v>2.2193292498534349</v>
      </c>
    </row>
    <row r="229" spans="1:26">
      <c r="A229" s="150">
        <v>1.02</v>
      </c>
      <c r="B229" s="151">
        <f t="shared" si="123"/>
        <v>0.92667633302175678</v>
      </c>
      <c r="C229" s="152">
        <f t="shared" si="110"/>
        <v>54.742857142857147</v>
      </c>
      <c r="D229" s="152">
        <f t="shared" si="111"/>
        <v>55.042857142857144</v>
      </c>
      <c r="E229" s="153">
        <f t="shared" si="112"/>
        <v>22</v>
      </c>
      <c r="F229" s="154">
        <f t="shared" si="104"/>
        <v>2.267044629122196</v>
      </c>
      <c r="G229" s="155">
        <f t="shared" si="113"/>
        <v>22</v>
      </c>
      <c r="H229" s="155">
        <f t="shared" si="105"/>
        <v>5.6323612290435765</v>
      </c>
      <c r="I229" s="208">
        <f t="shared" si="124"/>
        <v>22</v>
      </c>
      <c r="J229" s="208">
        <f t="shared" ref="J229" si="139">0.5*$A$3*$B229*$B229*I229*0.001</f>
        <v>2.267044629122196</v>
      </c>
      <c r="K229" s="155">
        <f t="shared" si="115"/>
        <v>22</v>
      </c>
      <c r="L229" s="155">
        <f t="shared" si="106"/>
        <v>3.9619864458377929</v>
      </c>
      <c r="M229" s="208">
        <f t="shared" si="125"/>
        <v>22</v>
      </c>
      <c r="N229" s="208">
        <f t="shared" si="130"/>
        <v>2.267044629122196</v>
      </c>
      <c r="O229" s="155">
        <f t="shared" si="117"/>
        <v>22</v>
      </c>
      <c r="P229" s="155">
        <f t="shared" si="107"/>
        <v>3.7881084942572318</v>
      </c>
      <c r="Q229" s="208">
        <f t="shared" si="126"/>
        <v>22</v>
      </c>
      <c r="R229" s="208">
        <f t="shared" si="131"/>
        <v>2.267044629122196</v>
      </c>
      <c r="S229" s="155">
        <f t="shared" si="119"/>
        <v>22</v>
      </c>
      <c r="T229" s="155">
        <f t="shared" si="108"/>
        <v>3.5752184869320405</v>
      </c>
      <c r="U229" s="208">
        <f t="shared" si="127"/>
        <v>22</v>
      </c>
      <c r="V229" s="208">
        <f t="shared" si="132"/>
        <v>2.267044629122196</v>
      </c>
      <c r="W229" s="155">
        <f t="shared" si="121"/>
        <v>22</v>
      </c>
      <c r="X229" s="155">
        <f t="shared" si="109"/>
        <v>3.3751971283123696</v>
      </c>
      <c r="Y229" s="208">
        <f t="shared" si="128"/>
        <v>22</v>
      </c>
      <c r="Z229" s="208">
        <f t="shared" si="133"/>
        <v>2.267044629122196</v>
      </c>
    </row>
    <row r="230" spans="1:26">
      <c r="A230" s="150">
        <v>1.03</v>
      </c>
      <c r="B230" s="151">
        <f t="shared" si="123"/>
        <v>0.93648025459038431</v>
      </c>
      <c r="C230" s="152">
        <f t="shared" si="110"/>
        <v>54.742857142857147</v>
      </c>
      <c r="D230" s="152">
        <f t="shared" si="111"/>
        <v>55.042857142857144</v>
      </c>
      <c r="E230" s="153">
        <f t="shared" si="112"/>
        <v>22</v>
      </c>
      <c r="F230" s="154">
        <f t="shared" si="104"/>
        <v>2.3152675055074514</v>
      </c>
      <c r="G230" s="155">
        <f t="shared" si="113"/>
        <v>22</v>
      </c>
      <c r="H230" s="155">
        <f t="shared" si="105"/>
        <v>5.686659871577513</v>
      </c>
      <c r="I230" s="208">
        <f t="shared" si="124"/>
        <v>22</v>
      </c>
      <c r="J230" s="208">
        <f>0.5*Lm*$B230*$B230*I230*0.001</f>
        <v>2.3152675055074514</v>
      </c>
      <c r="K230" s="155">
        <f t="shared" si="115"/>
        <v>22</v>
      </c>
      <c r="L230" s="155">
        <f t="shared" si="106"/>
        <v>3.9986130892268266</v>
      </c>
      <c r="M230" s="208">
        <f t="shared" si="125"/>
        <v>22</v>
      </c>
      <c r="N230" s="208">
        <f t="shared" si="130"/>
        <v>2.3152675055074514</v>
      </c>
      <c r="O230" s="155">
        <f t="shared" si="117"/>
        <v>22</v>
      </c>
      <c r="P230" s="155">
        <f t="shared" si="107"/>
        <v>3.8228955678428038</v>
      </c>
      <c r="Q230" s="208">
        <f t="shared" si="126"/>
        <v>22</v>
      </c>
      <c r="R230" s="208">
        <f t="shared" si="131"/>
        <v>2.3152675055074514</v>
      </c>
      <c r="S230" s="155">
        <f t="shared" si="119"/>
        <v>22</v>
      </c>
      <c r="T230" s="155">
        <f t="shared" si="108"/>
        <v>3.6077532563848904</v>
      </c>
      <c r="U230" s="208">
        <f t="shared" si="127"/>
        <v>22</v>
      </c>
      <c r="V230" s="208">
        <f t="shared" si="132"/>
        <v>2.3152675055074514</v>
      </c>
      <c r="W230" s="155">
        <f t="shared" si="121"/>
        <v>22</v>
      </c>
      <c r="X230" s="155">
        <f t="shared" si="109"/>
        <v>3.405615739574837</v>
      </c>
      <c r="Y230" s="208">
        <f t="shared" si="128"/>
        <v>22</v>
      </c>
      <c r="Z230" s="208">
        <f t="shared" si="133"/>
        <v>2.3152675055074514</v>
      </c>
    </row>
    <row r="231" spans="1:26">
      <c r="A231" s="150">
        <v>1.04</v>
      </c>
      <c r="B231" s="151">
        <f t="shared" si="123"/>
        <v>0.94628417615901184</v>
      </c>
      <c r="C231" s="152">
        <f t="shared" si="110"/>
        <v>54.742857142857147</v>
      </c>
      <c r="D231" s="152">
        <f t="shared" si="111"/>
        <v>55.042857142857144</v>
      </c>
      <c r="E231" s="153">
        <f t="shared" si="112"/>
        <v>22</v>
      </c>
      <c r="F231" s="154">
        <f t="shared" si="104"/>
        <v>2.3639978790092009</v>
      </c>
      <c r="G231" s="155">
        <f t="shared" si="113"/>
        <v>22</v>
      </c>
      <c r="H231" s="155">
        <f t="shared" si="105"/>
        <v>5.7409585141114503</v>
      </c>
      <c r="I231" s="208">
        <f t="shared" si="124"/>
        <v>22</v>
      </c>
      <c r="J231" s="208">
        <f t="shared" ref="J231" si="140">0.5*$A$3*$B231*$B231*I231*0.001</f>
        <v>2.3639978790092009</v>
      </c>
      <c r="K231" s="155">
        <f t="shared" si="115"/>
        <v>22</v>
      </c>
      <c r="L231" s="155">
        <f t="shared" si="106"/>
        <v>4.0352397326158602</v>
      </c>
      <c r="M231" s="208">
        <f t="shared" si="125"/>
        <v>22</v>
      </c>
      <c r="N231" s="208">
        <f t="shared" si="130"/>
        <v>2.3639978790092009</v>
      </c>
      <c r="O231" s="155">
        <f t="shared" si="117"/>
        <v>22</v>
      </c>
      <c r="P231" s="155">
        <f t="shared" si="107"/>
        <v>3.8576826414283758</v>
      </c>
      <c r="Q231" s="208">
        <f t="shared" si="126"/>
        <v>22</v>
      </c>
      <c r="R231" s="208">
        <f t="shared" si="131"/>
        <v>2.3639978790092009</v>
      </c>
      <c r="S231" s="155">
        <f t="shared" si="119"/>
        <v>22</v>
      </c>
      <c r="T231" s="155">
        <f t="shared" si="108"/>
        <v>3.6402880258377404</v>
      </c>
      <c r="U231" s="208">
        <f t="shared" si="127"/>
        <v>22</v>
      </c>
      <c r="V231" s="208">
        <f t="shared" si="132"/>
        <v>2.3639978790092009</v>
      </c>
      <c r="W231" s="155">
        <f t="shared" si="121"/>
        <v>22</v>
      </c>
      <c r="X231" s="155">
        <f t="shared" si="109"/>
        <v>3.4360343508373048</v>
      </c>
      <c r="Y231" s="208">
        <f t="shared" si="128"/>
        <v>22</v>
      </c>
      <c r="Z231" s="208">
        <f t="shared" si="133"/>
        <v>2.3639978790092009</v>
      </c>
    </row>
    <row r="232" spans="1:26">
      <c r="A232" s="150">
        <v>1.05</v>
      </c>
      <c r="B232" s="151">
        <f t="shared" si="123"/>
        <v>0.95608809772763914</v>
      </c>
      <c r="C232" s="152">
        <f t="shared" si="110"/>
        <v>54.742857142857147</v>
      </c>
      <c r="D232" s="152">
        <f t="shared" si="111"/>
        <v>55.042857142857144</v>
      </c>
      <c r="E232" s="153">
        <f t="shared" si="112"/>
        <v>22</v>
      </c>
      <c r="F232" s="154">
        <f t="shared" si="104"/>
        <v>2.413235749627443</v>
      </c>
      <c r="G232" s="155">
        <f t="shared" si="113"/>
        <v>22</v>
      </c>
      <c r="H232" s="155">
        <f t="shared" si="105"/>
        <v>5.7952571566453859</v>
      </c>
      <c r="I232" s="208">
        <f t="shared" si="124"/>
        <v>22</v>
      </c>
      <c r="J232" s="208">
        <f>0.5*Lm*$B232*$B232*I232*0.001</f>
        <v>2.413235749627443</v>
      </c>
      <c r="K232" s="155">
        <f t="shared" si="115"/>
        <v>22</v>
      </c>
      <c r="L232" s="155">
        <f t="shared" si="106"/>
        <v>4.071866376004893</v>
      </c>
      <c r="M232" s="208">
        <f t="shared" si="125"/>
        <v>22</v>
      </c>
      <c r="N232" s="208">
        <f t="shared" si="130"/>
        <v>2.413235749627443</v>
      </c>
      <c r="O232" s="155">
        <f t="shared" si="117"/>
        <v>22</v>
      </c>
      <c r="P232" s="155">
        <f t="shared" si="107"/>
        <v>3.8924697150139469</v>
      </c>
      <c r="Q232" s="208">
        <f t="shared" si="126"/>
        <v>22</v>
      </c>
      <c r="R232" s="208">
        <f t="shared" si="131"/>
        <v>2.413235749627443</v>
      </c>
      <c r="S232" s="155">
        <f t="shared" si="119"/>
        <v>22</v>
      </c>
      <c r="T232" s="155">
        <f t="shared" si="108"/>
        <v>3.6728227952905894</v>
      </c>
      <c r="U232" s="208">
        <f t="shared" si="127"/>
        <v>22</v>
      </c>
      <c r="V232" s="208">
        <f t="shared" si="132"/>
        <v>2.413235749627443</v>
      </c>
      <c r="W232" s="155">
        <f t="shared" si="121"/>
        <v>22</v>
      </c>
      <c r="X232" s="155">
        <f t="shared" si="109"/>
        <v>3.4664529620997713</v>
      </c>
      <c r="Y232" s="208">
        <f t="shared" si="128"/>
        <v>22</v>
      </c>
      <c r="Z232" s="208">
        <f t="shared" si="133"/>
        <v>2.413235749627443</v>
      </c>
    </row>
    <row r="233" spans="1:26">
      <c r="A233" s="150">
        <v>1.06</v>
      </c>
      <c r="B233" s="151">
        <f t="shared" si="123"/>
        <v>0.96589201929626667</v>
      </c>
      <c r="C233" s="152">
        <f t="shared" si="110"/>
        <v>54.742857142857147</v>
      </c>
      <c r="D233" s="152">
        <f t="shared" si="111"/>
        <v>55.042857142857144</v>
      </c>
      <c r="E233" s="153">
        <f t="shared" si="112"/>
        <v>22</v>
      </c>
      <c r="F233" s="154">
        <f t="shared" si="104"/>
        <v>2.4629811173621796</v>
      </c>
      <c r="G233" s="155">
        <f t="shared" si="113"/>
        <v>22</v>
      </c>
      <c r="H233" s="155">
        <f t="shared" si="105"/>
        <v>5.8495557991793232</v>
      </c>
      <c r="I233" s="208">
        <f t="shared" si="124"/>
        <v>22</v>
      </c>
      <c r="J233" s="208">
        <f t="shared" ref="J233" si="141">0.5*$A$3*$B233*$B233*I233*0.001</f>
        <v>2.4629811173621796</v>
      </c>
      <c r="K233" s="155">
        <f t="shared" si="115"/>
        <v>22</v>
      </c>
      <c r="L233" s="155">
        <f t="shared" si="106"/>
        <v>4.1084930193939266</v>
      </c>
      <c r="M233" s="208">
        <f t="shared" si="125"/>
        <v>22</v>
      </c>
      <c r="N233" s="208">
        <f t="shared" si="130"/>
        <v>2.4629811173621796</v>
      </c>
      <c r="O233" s="155">
        <f t="shared" si="117"/>
        <v>22</v>
      </c>
      <c r="P233" s="155">
        <f t="shared" si="107"/>
        <v>3.9272567885995193</v>
      </c>
      <c r="Q233" s="208">
        <f t="shared" si="126"/>
        <v>22</v>
      </c>
      <c r="R233" s="208">
        <f t="shared" si="131"/>
        <v>2.4629811173621796</v>
      </c>
      <c r="S233" s="155">
        <f t="shared" si="119"/>
        <v>22</v>
      </c>
      <c r="T233" s="155">
        <f t="shared" si="108"/>
        <v>3.7053575647434389</v>
      </c>
      <c r="U233" s="208">
        <f t="shared" si="127"/>
        <v>22</v>
      </c>
      <c r="V233" s="208">
        <f t="shared" si="132"/>
        <v>2.4629811173621796</v>
      </c>
      <c r="W233" s="155">
        <f t="shared" si="121"/>
        <v>22</v>
      </c>
      <c r="X233" s="155">
        <f t="shared" si="109"/>
        <v>3.4968715733622391</v>
      </c>
      <c r="Y233" s="208">
        <f t="shared" si="128"/>
        <v>22</v>
      </c>
      <c r="Z233" s="208">
        <f t="shared" si="133"/>
        <v>2.4629811173621796</v>
      </c>
    </row>
    <row r="234" spans="1:26">
      <c r="A234" s="150">
        <v>1.07</v>
      </c>
      <c r="B234" s="151">
        <f t="shared" si="123"/>
        <v>0.9756959408648942</v>
      </c>
      <c r="C234" s="152">
        <f t="shared" si="110"/>
        <v>54.742857142857147</v>
      </c>
      <c r="D234" s="152">
        <f t="shared" si="111"/>
        <v>55.042857142857144</v>
      </c>
      <c r="E234" s="153">
        <f t="shared" si="112"/>
        <v>22</v>
      </c>
      <c r="F234" s="154">
        <f t="shared" si="104"/>
        <v>2.5132339822134107</v>
      </c>
      <c r="G234" s="155">
        <f t="shared" si="113"/>
        <v>22</v>
      </c>
      <c r="H234" s="155">
        <f t="shared" si="105"/>
        <v>5.9038544417132606</v>
      </c>
      <c r="I234" s="208">
        <f t="shared" si="124"/>
        <v>22</v>
      </c>
      <c r="J234" s="208">
        <f>0.5*Lm*$B234*$B234*I234*0.001</f>
        <v>2.5132339822134107</v>
      </c>
      <c r="K234" s="155">
        <f t="shared" si="115"/>
        <v>22</v>
      </c>
      <c r="L234" s="155">
        <f t="shared" si="106"/>
        <v>4.1451196627829603</v>
      </c>
      <c r="M234" s="208">
        <f t="shared" si="125"/>
        <v>22</v>
      </c>
      <c r="N234" s="208">
        <f t="shared" si="130"/>
        <v>2.5132339822134107</v>
      </c>
      <c r="O234" s="155">
        <f t="shared" si="117"/>
        <v>22</v>
      </c>
      <c r="P234" s="155">
        <f t="shared" si="107"/>
        <v>3.9620438621850913</v>
      </c>
      <c r="Q234" s="208">
        <f t="shared" si="126"/>
        <v>22</v>
      </c>
      <c r="R234" s="208">
        <f t="shared" si="131"/>
        <v>2.5132339822134107</v>
      </c>
      <c r="S234" s="155">
        <f t="shared" si="119"/>
        <v>22</v>
      </c>
      <c r="T234" s="155">
        <f t="shared" si="108"/>
        <v>3.7378923341962889</v>
      </c>
      <c r="U234" s="208">
        <f t="shared" si="127"/>
        <v>22</v>
      </c>
      <c r="V234" s="208">
        <f t="shared" si="132"/>
        <v>2.5132339822134107</v>
      </c>
      <c r="W234" s="155">
        <f t="shared" si="121"/>
        <v>22</v>
      </c>
      <c r="X234" s="155">
        <f t="shared" si="109"/>
        <v>3.5272901846247064</v>
      </c>
      <c r="Y234" s="208">
        <f t="shared" si="128"/>
        <v>22</v>
      </c>
      <c r="Z234" s="208">
        <f t="shared" si="133"/>
        <v>2.5132339822134107</v>
      </c>
    </row>
    <row r="235" spans="1:26">
      <c r="A235" s="150">
        <v>1.08</v>
      </c>
      <c r="B235" s="151">
        <f t="shared" si="123"/>
        <v>0.98549986243352161</v>
      </c>
      <c r="C235" s="152">
        <f t="shared" si="110"/>
        <v>54.742857142857147</v>
      </c>
      <c r="D235" s="152">
        <f t="shared" si="111"/>
        <v>55.042857142857144</v>
      </c>
      <c r="E235" s="153">
        <f t="shared" si="112"/>
        <v>22</v>
      </c>
      <c r="F235" s="154">
        <f t="shared" si="104"/>
        <v>2.5639943441811339</v>
      </c>
      <c r="G235" s="155">
        <f t="shared" si="113"/>
        <v>22</v>
      </c>
      <c r="H235" s="155">
        <f t="shared" si="105"/>
        <v>5.958153084247197</v>
      </c>
      <c r="I235" s="208">
        <f t="shared" si="124"/>
        <v>22</v>
      </c>
      <c r="J235" s="208">
        <f t="shared" ref="J235" si="142">0.5*$A$3*$B235*$B235*I235*0.001</f>
        <v>2.5639943441811339</v>
      </c>
      <c r="K235" s="155">
        <f t="shared" si="115"/>
        <v>22</v>
      </c>
      <c r="L235" s="155">
        <f t="shared" si="106"/>
        <v>4.1817463061719939</v>
      </c>
      <c r="M235" s="208">
        <f t="shared" si="125"/>
        <v>22</v>
      </c>
      <c r="N235" s="208">
        <f t="shared" si="130"/>
        <v>2.5639943441811339</v>
      </c>
      <c r="O235" s="155">
        <f t="shared" si="117"/>
        <v>22</v>
      </c>
      <c r="P235" s="155">
        <f t="shared" si="107"/>
        <v>3.9968309357706628</v>
      </c>
      <c r="Q235" s="208">
        <f t="shared" si="126"/>
        <v>22</v>
      </c>
      <c r="R235" s="208">
        <f t="shared" si="131"/>
        <v>2.5639943441811339</v>
      </c>
      <c r="S235" s="155">
        <f t="shared" si="119"/>
        <v>22</v>
      </c>
      <c r="T235" s="155">
        <f t="shared" si="108"/>
        <v>3.7704271036491384</v>
      </c>
      <c r="U235" s="208">
        <f t="shared" si="127"/>
        <v>22</v>
      </c>
      <c r="V235" s="208">
        <f t="shared" si="132"/>
        <v>2.5639943441811339</v>
      </c>
      <c r="W235" s="155">
        <f t="shared" si="121"/>
        <v>22</v>
      </c>
      <c r="X235" s="155">
        <f t="shared" si="109"/>
        <v>3.5577087958871729</v>
      </c>
      <c r="Y235" s="208">
        <f t="shared" si="128"/>
        <v>22</v>
      </c>
      <c r="Z235" s="208">
        <f t="shared" si="133"/>
        <v>2.5639943441811339</v>
      </c>
    </row>
    <row r="236" spans="1:26">
      <c r="A236" s="150">
        <v>1.0900000000000001</v>
      </c>
      <c r="B236" s="151">
        <f t="shared" si="123"/>
        <v>0.99530378400214903</v>
      </c>
      <c r="C236" s="152">
        <f t="shared" si="110"/>
        <v>54.742857142857147</v>
      </c>
      <c r="D236" s="152">
        <f t="shared" si="111"/>
        <v>55.042857142857144</v>
      </c>
      <c r="E236" s="153">
        <f t="shared" si="112"/>
        <v>22</v>
      </c>
      <c r="F236" s="154">
        <f t="shared" si="104"/>
        <v>2.6152622032653512</v>
      </c>
      <c r="G236" s="155">
        <f t="shared" si="113"/>
        <v>22</v>
      </c>
      <c r="H236" s="155">
        <f t="shared" si="105"/>
        <v>6.0124517267811335</v>
      </c>
      <c r="I236" s="208">
        <f t="shared" si="124"/>
        <v>22</v>
      </c>
      <c r="J236" s="208">
        <f>0.5*Lm*$B236*$B236*I236*0.001</f>
        <v>2.6152622032653512</v>
      </c>
      <c r="K236" s="155">
        <f t="shared" si="115"/>
        <v>22</v>
      </c>
      <c r="L236" s="155">
        <f t="shared" si="106"/>
        <v>4.2183729495610267</v>
      </c>
      <c r="M236" s="208">
        <f t="shared" si="125"/>
        <v>22</v>
      </c>
      <c r="N236" s="208">
        <f t="shared" si="130"/>
        <v>2.6152622032653512</v>
      </c>
      <c r="O236" s="155">
        <f t="shared" si="117"/>
        <v>22</v>
      </c>
      <c r="P236" s="155">
        <f t="shared" si="107"/>
        <v>4.0316180093562348</v>
      </c>
      <c r="Q236" s="208">
        <f t="shared" si="126"/>
        <v>22</v>
      </c>
      <c r="R236" s="208">
        <f t="shared" si="131"/>
        <v>2.6152622032653512</v>
      </c>
      <c r="S236" s="155">
        <f t="shared" si="119"/>
        <v>22</v>
      </c>
      <c r="T236" s="155">
        <f t="shared" si="108"/>
        <v>3.8029618731019879</v>
      </c>
      <c r="U236" s="208">
        <f t="shared" si="127"/>
        <v>22</v>
      </c>
      <c r="V236" s="208">
        <f t="shared" si="132"/>
        <v>2.6152622032653512</v>
      </c>
      <c r="W236" s="155">
        <f t="shared" si="121"/>
        <v>22</v>
      </c>
      <c r="X236" s="155">
        <f t="shared" si="109"/>
        <v>3.5881274071496403</v>
      </c>
      <c r="Y236" s="208">
        <f t="shared" si="128"/>
        <v>22</v>
      </c>
      <c r="Z236" s="208">
        <f t="shared" si="133"/>
        <v>2.6152622032653512</v>
      </c>
    </row>
    <row r="237" spans="1:26">
      <c r="A237" s="150">
        <v>1.1000000000000001</v>
      </c>
      <c r="B237" s="151">
        <f t="shared" si="123"/>
        <v>1.0051077055707767</v>
      </c>
      <c r="C237" s="152">
        <f t="shared" si="110"/>
        <v>54.742857142857147</v>
      </c>
      <c r="D237" s="152">
        <f t="shared" si="111"/>
        <v>55.042857142857144</v>
      </c>
      <c r="E237" s="153">
        <f t="shared" si="112"/>
        <v>22</v>
      </c>
      <c r="F237" s="154">
        <f t="shared" si="104"/>
        <v>2.6670375594660634</v>
      </c>
      <c r="G237" s="155">
        <f t="shared" si="113"/>
        <v>22</v>
      </c>
      <c r="H237" s="155">
        <f t="shared" si="105"/>
        <v>6.0667503693150717</v>
      </c>
      <c r="I237" s="208">
        <f t="shared" si="124"/>
        <v>22</v>
      </c>
      <c r="J237" s="208">
        <f t="shared" ref="J237" si="143">0.5*$A$3*$B237*$B237*I237*0.001</f>
        <v>2.6670375594660634</v>
      </c>
      <c r="K237" s="155">
        <f t="shared" si="115"/>
        <v>22</v>
      </c>
      <c r="L237" s="155">
        <f t="shared" si="106"/>
        <v>4.2549995929500612</v>
      </c>
      <c r="M237" s="208">
        <f t="shared" si="125"/>
        <v>22</v>
      </c>
      <c r="N237" s="208">
        <f t="shared" si="130"/>
        <v>2.6670375594660634</v>
      </c>
      <c r="O237" s="155">
        <f t="shared" si="117"/>
        <v>22</v>
      </c>
      <c r="P237" s="155">
        <f t="shared" si="107"/>
        <v>4.0664050829418068</v>
      </c>
      <c r="Q237" s="208">
        <f t="shared" si="126"/>
        <v>22</v>
      </c>
      <c r="R237" s="208">
        <f t="shared" si="131"/>
        <v>2.6670375594660634</v>
      </c>
      <c r="S237" s="155">
        <f t="shared" si="119"/>
        <v>22</v>
      </c>
      <c r="T237" s="155">
        <f t="shared" si="108"/>
        <v>3.8354966425548382</v>
      </c>
      <c r="U237" s="208">
        <f t="shared" si="127"/>
        <v>22</v>
      </c>
      <c r="V237" s="208">
        <f t="shared" si="132"/>
        <v>2.6670375594660634</v>
      </c>
      <c r="W237" s="155">
        <f t="shared" si="121"/>
        <v>22</v>
      </c>
      <c r="X237" s="155">
        <f t="shared" si="109"/>
        <v>3.6185460184121077</v>
      </c>
      <c r="Y237" s="208">
        <f t="shared" si="128"/>
        <v>22</v>
      </c>
      <c r="Z237" s="208">
        <f t="shared" si="133"/>
        <v>2.6670375594660634</v>
      </c>
    </row>
    <row r="238" spans="1:26">
      <c r="A238" s="150">
        <v>1.1100000000000001</v>
      </c>
      <c r="B238" s="151">
        <f t="shared" si="123"/>
        <v>1.0149116271394039</v>
      </c>
      <c r="C238" s="152">
        <f t="shared" si="110"/>
        <v>54.742857142857147</v>
      </c>
      <c r="D238" s="152">
        <f t="shared" si="111"/>
        <v>55.042857142857144</v>
      </c>
      <c r="E238" s="153">
        <f t="shared" si="112"/>
        <v>22</v>
      </c>
      <c r="F238" s="154">
        <f t="shared" si="104"/>
        <v>2.7193204127832664</v>
      </c>
      <c r="G238" s="155">
        <f t="shared" si="113"/>
        <v>22</v>
      </c>
      <c r="H238" s="155">
        <f t="shared" si="105"/>
        <v>6.1210490118490064</v>
      </c>
      <c r="I238" s="208">
        <f t="shared" si="124"/>
        <v>22</v>
      </c>
      <c r="J238" s="208">
        <f>0.5*Lm*$B238*$B238*I238*0.001</f>
        <v>2.7193204127832664</v>
      </c>
      <c r="K238" s="155">
        <f t="shared" si="115"/>
        <v>22</v>
      </c>
      <c r="L238" s="155">
        <f t="shared" si="106"/>
        <v>4.2916262363390931</v>
      </c>
      <c r="M238" s="208">
        <f t="shared" si="125"/>
        <v>22</v>
      </c>
      <c r="N238" s="208">
        <f t="shared" si="130"/>
        <v>2.7193204127832664</v>
      </c>
      <c r="O238" s="155">
        <f t="shared" si="117"/>
        <v>22</v>
      </c>
      <c r="P238" s="155">
        <f t="shared" si="107"/>
        <v>4.1011921565273779</v>
      </c>
      <c r="Q238" s="208">
        <f t="shared" si="126"/>
        <v>22</v>
      </c>
      <c r="R238" s="208">
        <f t="shared" si="131"/>
        <v>2.7193204127832664</v>
      </c>
      <c r="S238" s="155">
        <f t="shared" si="119"/>
        <v>22</v>
      </c>
      <c r="T238" s="155">
        <f t="shared" si="108"/>
        <v>3.8680314120076869</v>
      </c>
      <c r="U238" s="208">
        <f t="shared" si="127"/>
        <v>22</v>
      </c>
      <c r="V238" s="208">
        <f t="shared" si="132"/>
        <v>2.7193204127832664</v>
      </c>
      <c r="W238" s="155">
        <f t="shared" si="121"/>
        <v>22</v>
      </c>
      <c r="X238" s="155">
        <f t="shared" si="109"/>
        <v>3.6489646296745741</v>
      </c>
      <c r="Y238" s="208">
        <f t="shared" si="128"/>
        <v>22</v>
      </c>
      <c r="Z238" s="208">
        <f t="shared" si="133"/>
        <v>2.7193204127832664</v>
      </c>
    </row>
    <row r="239" spans="1:26">
      <c r="A239" s="150">
        <v>1.1200000000000001</v>
      </c>
      <c r="B239" s="151">
        <f t="shared" si="123"/>
        <v>1.0247155487080315</v>
      </c>
      <c r="C239" s="152">
        <f t="shared" si="110"/>
        <v>54.742857142857147</v>
      </c>
      <c r="D239" s="152">
        <f t="shared" si="111"/>
        <v>55.042857142857144</v>
      </c>
      <c r="E239" s="153">
        <f t="shared" si="112"/>
        <v>22</v>
      </c>
      <c r="F239" s="154">
        <f t="shared" si="104"/>
        <v>2.7721107632169657</v>
      </c>
      <c r="G239" s="155">
        <f t="shared" si="113"/>
        <v>22</v>
      </c>
      <c r="H239" s="155">
        <f t="shared" si="105"/>
        <v>6.1753476543829446</v>
      </c>
      <c r="I239" s="208">
        <f t="shared" si="124"/>
        <v>22</v>
      </c>
      <c r="J239" s="208">
        <f t="shared" ref="J239" si="144">0.5*$A$3*$B239*$B239*I239*0.001</f>
        <v>2.7721107632169657</v>
      </c>
      <c r="K239" s="155">
        <f t="shared" si="115"/>
        <v>22</v>
      </c>
      <c r="L239" s="155">
        <f t="shared" si="106"/>
        <v>4.3282528797281277</v>
      </c>
      <c r="M239" s="208">
        <f t="shared" si="125"/>
        <v>22</v>
      </c>
      <c r="N239" s="208">
        <f t="shared" si="130"/>
        <v>2.7721107632169657</v>
      </c>
      <c r="O239" s="155">
        <f t="shared" si="117"/>
        <v>22</v>
      </c>
      <c r="P239" s="155">
        <f t="shared" si="107"/>
        <v>4.1359792301129499</v>
      </c>
      <c r="Q239" s="208">
        <f t="shared" si="126"/>
        <v>22</v>
      </c>
      <c r="R239" s="208">
        <f t="shared" si="131"/>
        <v>2.7721107632169657</v>
      </c>
      <c r="S239" s="155">
        <f t="shared" si="119"/>
        <v>22</v>
      </c>
      <c r="T239" s="155">
        <f t="shared" si="108"/>
        <v>3.9005661814605368</v>
      </c>
      <c r="U239" s="208">
        <f t="shared" si="127"/>
        <v>22</v>
      </c>
      <c r="V239" s="208">
        <f t="shared" si="132"/>
        <v>2.7721107632169657</v>
      </c>
      <c r="W239" s="155">
        <f t="shared" si="121"/>
        <v>22</v>
      </c>
      <c r="X239" s="155">
        <f t="shared" si="109"/>
        <v>3.6793832409370419</v>
      </c>
      <c r="Y239" s="208">
        <f t="shared" si="128"/>
        <v>22</v>
      </c>
      <c r="Z239" s="208">
        <f t="shared" si="133"/>
        <v>2.7721107632169657</v>
      </c>
    </row>
    <row r="240" spans="1:26">
      <c r="A240" s="150">
        <v>1.1299999999999999</v>
      </c>
      <c r="B240" s="151">
        <f t="shared" si="123"/>
        <v>1.0345194702766587</v>
      </c>
      <c r="C240" s="152">
        <f t="shared" si="110"/>
        <v>54.742857142857147</v>
      </c>
      <c r="D240" s="152">
        <f t="shared" si="111"/>
        <v>55.042857142857144</v>
      </c>
      <c r="E240" s="153">
        <f t="shared" si="112"/>
        <v>22</v>
      </c>
      <c r="F240" s="154">
        <f t="shared" si="104"/>
        <v>2.8254086107671559</v>
      </c>
      <c r="G240" s="155">
        <f t="shared" si="113"/>
        <v>22</v>
      </c>
      <c r="H240" s="155">
        <f t="shared" si="105"/>
        <v>6.2296462969168793</v>
      </c>
      <c r="I240" s="208">
        <f t="shared" si="124"/>
        <v>22</v>
      </c>
      <c r="J240" s="208">
        <f>0.5*Lm*$B240*$B240*I240*0.001</f>
        <v>2.8254086107671559</v>
      </c>
      <c r="K240" s="155">
        <f t="shared" si="115"/>
        <v>22</v>
      </c>
      <c r="L240" s="155">
        <f t="shared" si="106"/>
        <v>4.3648795231171604</v>
      </c>
      <c r="M240" s="208">
        <f t="shared" si="125"/>
        <v>22</v>
      </c>
      <c r="N240" s="208">
        <f t="shared" si="130"/>
        <v>2.8254086107671559</v>
      </c>
      <c r="O240" s="155">
        <f t="shared" si="117"/>
        <v>22</v>
      </c>
      <c r="P240" s="155">
        <f t="shared" si="107"/>
        <v>4.170766303698521</v>
      </c>
      <c r="Q240" s="208">
        <f t="shared" si="126"/>
        <v>22</v>
      </c>
      <c r="R240" s="208">
        <f t="shared" si="131"/>
        <v>2.8254086107671559</v>
      </c>
      <c r="S240" s="155">
        <f t="shared" si="119"/>
        <v>22</v>
      </c>
      <c r="T240" s="155">
        <f t="shared" si="108"/>
        <v>3.9331009509133859</v>
      </c>
      <c r="U240" s="208">
        <f t="shared" si="127"/>
        <v>22</v>
      </c>
      <c r="V240" s="208">
        <f t="shared" si="132"/>
        <v>2.8254086107671559</v>
      </c>
      <c r="W240" s="155">
        <f t="shared" si="121"/>
        <v>22</v>
      </c>
      <c r="X240" s="155">
        <f t="shared" si="109"/>
        <v>3.709801852199508</v>
      </c>
      <c r="Y240" s="208">
        <f t="shared" si="128"/>
        <v>22</v>
      </c>
      <c r="Z240" s="208">
        <f t="shared" si="133"/>
        <v>2.8254086107671559</v>
      </c>
    </row>
    <row r="241" spans="1:26">
      <c r="A241" s="150">
        <v>1.1399999999999999</v>
      </c>
      <c r="B241" s="151">
        <f t="shared" si="123"/>
        <v>1.0443233918452861</v>
      </c>
      <c r="C241" s="152">
        <f t="shared" si="110"/>
        <v>54.742857142857147</v>
      </c>
      <c r="D241" s="152">
        <f t="shared" si="111"/>
        <v>55.042857142857144</v>
      </c>
      <c r="E241" s="153">
        <f t="shared" si="112"/>
        <v>22</v>
      </c>
      <c r="F241" s="154">
        <f t="shared" si="104"/>
        <v>2.8792139554338414</v>
      </c>
      <c r="G241" s="155">
        <f t="shared" si="113"/>
        <v>22</v>
      </c>
      <c r="H241" s="155">
        <f t="shared" si="105"/>
        <v>6.2839449394508158</v>
      </c>
      <c r="I241" s="208">
        <f t="shared" si="124"/>
        <v>22</v>
      </c>
      <c r="J241" s="208">
        <f t="shared" ref="J241" si="145">0.5*$A$3*$B241*$B241*I241*0.001</f>
        <v>2.8792139554338414</v>
      </c>
      <c r="K241" s="155">
        <f t="shared" si="115"/>
        <v>22</v>
      </c>
      <c r="L241" s="155">
        <f t="shared" si="106"/>
        <v>4.4015061665061932</v>
      </c>
      <c r="M241" s="208">
        <f t="shared" si="125"/>
        <v>22</v>
      </c>
      <c r="N241" s="208">
        <f t="shared" si="130"/>
        <v>2.8792139554338414</v>
      </c>
      <c r="O241" s="155">
        <f t="shared" si="117"/>
        <v>22</v>
      </c>
      <c r="P241" s="155">
        <f t="shared" si="107"/>
        <v>4.2055533772840921</v>
      </c>
      <c r="Q241" s="208">
        <f t="shared" si="126"/>
        <v>22</v>
      </c>
      <c r="R241" s="208">
        <f t="shared" si="131"/>
        <v>2.8792139554338414</v>
      </c>
      <c r="S241" s="155">
        <f t="shared" si="119"/>
        <v>22</v>
      </c>
      <c r="T241" s="155">
        <f t="shared" si="108"/>
        <v>3.9656357203662349</v>
      </c>
      <c r="U241" s="208">
        <f t="shared" si="127"/>
        <v>22</v>
      </c>
      <c r="V241" s="208">
        <f t="shared" si="132"/>
        <v>2.8792139554338414</v>
      </c>
      <c r="W241" s="155">
        <f t="shared" si="121"/>
        <v>22</v>
      </c>
      <c r="X241" s="155">
        <f t="shared" si="109"/>
        <v>3.7402204634619753</v>
      </c>
      <c r="Y241" s="208">
        <f t="shared" si="128"/>
        <v>22</v>
      </c>
      <c r="Z241" s="208">
        <f t="shared" si="133"/>
        <v>2.8792139554338414</v>
      </c>
    </row>
    <row r="242" spans="1:26">
      <c r="A242" s="150">
        <v>1.1499999999999999</v>
      </c>
      <c r="B242" s="151">
        <f t="shared" si="123"/>
        <v>1.0541273134139137</v>
      </c>
      <c r="C242" s="152">
        <f t="shared" si="110"/>
        <v>54.742857142857147</v>
      </c>
      <c r="D242" s="152">
        <f t="shared" si="111"/>
        <v>55.042857142857144</v>
      </c>
      <c r="E242" s="153">
        <f t="shared" si="112"/>
        <v>22</v>
      </c>
      <c r="F242" s="154">
        <f t="shared" si="104"/>
        <v>2.9335267972170214</v>
      </c>
      <c r="G242" s="155">
        <f t="shared" si="113"/>
        <v>22</v>
      </c>
      <c r="H242" s="155">
        <f t="shared" si="105"/>
        <v>6.3382435819847531</v>
      </c>
      <c r="I242" s="208">
        <f t="shared" si="124"/>
        <v>22</v>
      </c>
      <c r="J242" s="208">
        <f>0.5*Lm*$B242*$B242*I242*0.001</f>
        <v>2.9335267972170214</v>
      </c>
      <c r="K242" s="155">
        <f t="shared" si="115"/>
        <v>22</v>
      </c>
      <c r="L242" s="155">
        <f t="shared" si="106"/>
        <v>4.4381328098952268</v>
      </c>
      <c r="M242" s="208">
        <f t="shared" si="125"/>
        <v>22</v>
      </c>
      <c r="N242" s="208">
        <f t="shared" si="130"/>
        <v>2.9335267972170214</v>
      </c>
      <c r="O242" s="155">
        <f t="shared" si="117"/>
        <v>22</v>
      </c>
      <c r="P242" s="155">
        <f t="shared" si="107"/>
        <v>4.240340450869664</v>
      </c>
      <c r="Q242" s="208">
        <f t="shared" si="126"/>
        <v>22</v>
      </c>
      <c r="R242" s="208">
        <f t="shared" si="131"/>
        <v>2.9335267972170214</v>
      </c>
      <c r="S242" s="155">
        <f t="shared" si="119"/>
        <v>22</v>
      </c>
      <c r="T242" s="155">
        <f t="shared" si="108"/>
        <v>3.9981704898190848</v>
      </c>
      <c r="U242" s="208">
        <f t="shared" si="127"/>
        <v>22</v>
      </c>
      <c r="V242" s="208">
        <f t="shared" si="132"/>
        <v>2.9335267972170214</v>
      </c>
      <c r="W242" s="155">
        <f t="shared" si="121"/>
        <v>22</v>
      </c>
      <c r="X242" s="155">
        <f t="shared" si="109"/>
        <v>3.7706390747244427</v>
      </c>
      <c r="Y242" s="208">
        <f t="shared" si="128"/>
        <v>22</v>
      </c>
      <c r="Z242" s="208">
        <f t="shared" si="133"/>
        <v>2.9335267972170214</v>
      </c>
    </row>
    <row r="243" spans="1:26">
      <c r="A243" s="150">
        <v>1.1599999999999999</v>
      </c>
      <c r="B243" s="151">
        <f t="shared" si="123"/>
        <v>1.0639312349825409</v>
      </c>
      <c r="C243" s="152">
        <f t="shared" si="110"/>
        <v>54.742857142857147</v>
      </c>
      <c r="D243" s="152">
        <f t="shared" si="111"/>
        <v>55.042857142857144</v>
      </c>
      <c r="E243" s="153">
        <f t="shared" si="112"/>
        <v>22</v>
      </c>
      <c r="F243" s="154">
        <f t="shared" si="104"/>
        <v>2.9883471361166936</v>
      </c>
      <c r="G243" s="155">
        <f t="shared" si="113"/>
        <v>22</v>
      </c>
      <c r="H243" s="155">
        <f t="shared" si="105"/>
        <v>6.3925422245186887</v>
      </c>
      <c r="I243" s="208">
        <f t="shared" si="124"/>
        <v>22</v>
      </c>
      <c r="J243" s="208">
        <f t="shared" ref="J243" si="146">0.5*$A$3*$B243*$B243*I243*0.001</f>
        <v>2.9883471361166936</v>
      </c>
      <c r="K243" s="155">
        <f t="shared" si="115"/>
        <v>22</v>
      </c>
      <c r="L243" s="155">
        <f t="shared" si="106"/>
        <v>4.4747594532842596</v>
      </c>
      <c r="M243" s="208">
        <f t="shared" si="125"/>
        <v>22</v>
      </c>
      <c r="N243" s="208">
        <f t="shared" si="130"/>
        <v>2.9883471361166936</v>
      </c>
      <c r="O243" s="155">
        <f t="shared" si="117"/>
        <v>22</v>
      </c>
      <c r="P243" s="155">
        <f t="shared" si="107"/>
        <v>4.275127524455236</v>
      </c>
      <c r="Q243" s="208">
        <f t="shared" si="126"/>
        <v>22</v>
      </c>
      <c r="R243" s="208">
        <f t="shared" si="131"/>
        <v>2.9883471361166936</v>
      </c>
      <c r="S243" s="155">
        <f t="shared" si="119"/>
        <v>22</v>
      </c>
      <c r="T243" s="155">
        <f t="shared" si="108"/>
        <v>4.0307052592719339</v>
      </c>
      <c r="U243" s="208">
        <f t="shared" si="127"/>
        <v>22</v>
      </c>
      <c r="V243" s="208">
        <f t="shared" si="132"/>
        <v>2.9883471361166936</v>
      </c>
      <c r="W243" s="155">
        <f t="shared" si="121"/>
        <v>22</v>
      </c>
      <c r="X243" s="155">
        <f t="shared" si="109"/>
        <v>3.8010576859869092</v>
      </c>
      <c r="Y243" s="208">
        <f t="shared" si="128"/>
        <v>22</v>
      </c>
      <c r="Z243" s="208">
        <f t="shared" si="133"/>
        <v>2.9883471361166936</v>
      </c>
    </row>
    <row r="244" spans="1:26">
      <c r="A244" s="150">
        <v>1.17</v>
      </c>
      <c r="B244" s="151">
        <f t="shared" si="123"/>
        <v>1.0737351565511686</v>
      </c>
      <c r="C244" s="152">
        <f t="shared" si="110"/>
        <v>54.742857142857147</v>
      </c>
      <c r="D244" s="152">
        <f t="shared" si="111"/>
        <v>55.042857142857144</v>
      </c>
      <c r="E244" s="153">
        <f t="shared" si="112"/>
        <v>22</v>
      </c>
      <c r="F244" s="154">
        <f t="shared" si="104"/>
        <v>3.0436749721328606</v>
      </c>
      <c r="G244" s="155">
        <f t="shared" si="113"/>
        <v>22</v>
      </c>
      <c r="H244" s="155">
        <f t="shared" si="105"/>
        <v>6.446840867052626</v>
      </c>
      <c r="I244" s="208">
        <f t="shared" si="124"/>
        <v>22</v>
      </c>
      <c r="J244" s="208">
        <f>0.5*Lm*$B244*$B244*I244*0.001</f>
        <v>3.0436749721328606</v>
      </c>
      <c r="K244" s="155">
        <f t="shared" si="115"/>
        <v>22</v>
      </c>
      <c r="L244" s="155">
        <f t="shared" si="106"/>
        <v>4.5113860966732933</v>
      </c>
      <c r="M244" s="208">
        <f t="shared" si="125"/>
        <v>22</v>
      </c>
      <c r="N244" s="208">
        <f t="shared" si="130"/>
        <v>3.0436749721328606</v>
      </c>
      <c r="O244" s="155">
        <f t="shared" si="117"/>
        <v>22</v>
      </c>
      <c r="P244" s="155">
        <f t="shared" si="107"/>
        <v>4.3099145980408071</v>
      </c>
      <c r="Q244" s="208">
        <f t="shared" si="126"/>
        <v>22</v>
      </c>
      <c r="R244" s="208">
        <f t="shared" si="131"/>
        <v>3.0436749721328606</v>
      </c>
      <c r="S244" s="155">
        <f t="shared" si="119"/>
        <v>22</v>
      </c>
      <c r="T244" s="155">
        <f t="shared" si="108"/>
        <v>4.0632400287247838</v>
      </c>
      <c r="U244" s="208">
        <f t="shared" si="127"/>
        <v>22</v>
      </c>
      <c r="V244" s="208">
        <f t="shared" si="132"/>
        <v>3.0436749721328606</v>
      </c>
      <c r="W244" s="155">
        <f t="shared" si="121"/>
        <v>22</v>
      </c>
      <c r="X244" s="155">
        <f t="shared" si="109"/>
        <v>3.8314762972493766</v>
      </c>
      <c r="Y244" s="208">
        <f t="shared" si="128"/>
        <v>22</v>
      </c>
      <c r="Z244" s="208">
        <f t="shared" si="133"/>
        <v>3.0436749721328606</v>
      </c>
    </row>
    <row r="245" spans="1:26">
      <c r="A245" s="150">
        <v>1.18</v>
      </c>
      <c r="B245" s="151">
        <f t="shared" si="123"/>
        <v>1.083539078119796</v>
      </c>
      <c r="C245" s="152">
        <f t="shared" si="110"/>
        <v>54.742857142857147</v>
      </c>
      <c r="D245" s="152">
        <f t="shared" si="111"/>
        <v>55.042857142857144</v>
      </c>
      <c r="E245" s="153">
        <f t="shared" si="112"/>
        <v>22</v>
      </c>
      <c r="F245" s="154">
        <f t="shared" si="104"/>
        <v>3.0995103052655213</v>
      </c>
      <c r="G245" s="155">
        <f t="shared" si="113"/>
        <v>22</v>
      </c>
      <c r="H245" s="155">
        <f t="shared" si="105"/>
        <v>6.5011395095865634</v>
      </c>
      <c r="I245" s="208">
        <f t="shared" si="124"/>
        <v>22</v>
      </c>
      <c r="J245" s="208">
        <f t="shared" ref="J245" si="147">0.5*$A$3*$B245*$B245*I245*0.001</f>
        <v>3.0995103052655213</v>
      </c>
      <c r="K245" s="155">
        <f t="shared" si="115"/>
        <v>22</v>
      </c>
      <c r="L245" s="155">
        <f t="shared" si="106"/>
        <v>4.5480127400623278</v>
      </c>
      <c r="M245" s="208">
        <f t="shared" si="125"/>
        <v>22</v>
      </c>
      <c r="N245" s="208">
        <f t="shared" si="130"/>
        <v>3.0995103052655213</v>
      </c>
      <c r="O245" s="155">
        <f t="shared" si="117"/>
        <v>22</v>
      </c>
      <c r="P245" s="155">
        <f t="shared" si="107"/>
        <v>4.34470167162638</v>
      </c>
      <c r="Q245" s="208">
        <f t="shared" si="126"/>
        <v>22</v>
      </c>
      <c r="R245" s="208">
        <f t="shared" si="131"/>
        <v>3.0995103052655213</v>
      </c>
      <c r="S245" s="155">
        <f t="shared" si="119"/>
        <v>22</v>
      </c>
      <c r="T245" s="155">
        <f t="shared" si="108"/>
        <v>4.0957747981776338</v>
      </c>
      <c r="U245" s="208">
        <f t="shared" si="127"/>
        <v>22</v>
      </c>
      <c r="V245" s="208">
        <f t="shared" si="132"/>
        <v>3.0995103052655213</v>
      </c>
      <c r="W245" s="155">
        <f t="shared" si="121"/>
        <v>22</v>
      </c>
      <c r="X245" s="155">
        <f t="shared" si="109"/>
        <v>3.8618949085118439</v>
      </c>
      <c r="Y245" s="208">
        <f t="shared" si="128"/>
        <v>22</v>
      </c>
      <c r="Z245" s="208">
        <f t="shared" si="133"/>
        <v>3.0995103052655213</v>
      </c>
    </row>
    <row r="246" spans="1:26">
      <c r="A246" s="150">
        <v>1.19</v>
      </c>
      <c r="B246" s="151">
        <f t="shared" si="123"/>
        <v>1.0933429996884234</v>
      </c>
      <c r="C246" s="152">
        <f t="shared" si="110"/>
        <v>54.742857142857147</v>
      </c>
      <c r="D246" s="152">
        <f t="shared" si="111"/>
        <v>55.042857142857144</v>
      </c>
      <c r="E246" s="153">
        <f t="shared" si="112"/>
        <v>22</v>
      </c>
      <c r="F246" s="154">
        <f t="shared" ref="F246:F277" si="148">(0.5*Lm*$B246*$B246*$E246*0.001)</f>
        <v>3.1558531355146746</v>
      </c>
      <c r="G246" s="155">
        <f t="shared" si="113"/>
        <v>22</v>
      </c>
      <c r="H246" s="155">
        <f t="shared" ref="H246:H277" si="149">($B246*Lm/G$211)+($B246*Lm/VOR)+0.5</f>
        <v>6.5554381521204981</v>
      </c>
      <c r="I246" s="208">
        <f t="shared" si="124"/>
        <v>22</v>
      </c>
      <c r="J246" s="208">
        <f>0.5*Lm*$B246*$B246*I246*0.001</f>
        <v>3.1558531355146746</v>
      </c>
      <c r="K246" s="155">
        <f t="shared" si="115"/>
        <v>22</v>
      </c>
      <c r="L246" s="155">
        <f t="shared" ref="L246:L277" si="150">($B246*Lm/L$211)+($B246*Lm/VOR)+0.5</f>
        <v>4.5846393834513597</v>
      </c>
      <c r="M246" s="208">
        <f t="shared" si="125"/>
        <v>22</v>
      </c>
      <c r="N246" s="208">
        <f t="shared" si="130"/>
        <v>3.1558531355146746</v>
      </c>
      <c r="O246" s="155">
        <f t="shared" si="117"/>
        <v>22</v>
      </c>
      <c r="P246" s="155">
        <f t="shared" ref="P246:P277" si="151">($B246*Lm/P$211)+($B246*Lm/VOR)+0.5</f>
        <v>4.3794887452119502</v>
      </c>
      <c r="Q246" s="208">
        <f t="shared" si="126"/>
        <v>22</v>
      </c>
      <c r="R246" s="208">
        <f t="shared" si="131"/>
        <v>3.1558531355146746</v>
      </c>
      <c r="S246" s="155">
        <f t="shared" si="119"/>
        <v>22</v>
      </c>
      <c r="T246" s="155">
        <f t="shared" ref="T246:T277" si="152">($B246*Lm/T$211)+($B246*Lm/VOR)+0.5</f>
        <v>4.1283095676304828</v>
      </c>
      <c r="U246" s="208">
        <f t="shared" si="127"/>
        <v>22</v>
      </c>
      <c r="V246" s="208">
        <f t="shared" si="132"/>
        <v>3.1558531355146746</v>
      </c>
      <c r="W246" s="155">
        <f t="shared" si="121"/>
        <v>22</v>
      </c>
      <c r="X246" s="155">
        <f t="shared" ref="X246:X277" si="153">($B246*Lm/X$211)+($B246*Lm/VOR)+0.5</f>
        <v>3.8923135197743104</v>
      </c>
      <c r="Y246" s="208">
        <f t="shared" si="128"/>
        <v>22</v>
      </c>
      <c r="Z246" s="208">
        <f t="shared" si="133"/>
        <v>3.1558531355146746</v>
      </c>
    </row>
    <row r="247" spans="1:26">
      <c r="A247" s="150">
        <v>1.2</v>
      </c>
      <c r="B247" s="151">
        <f t="shared" si="123"/>
        <v>1.1031469212570508</v>
      </c>
      <c r="C247" s="152">
        <f t="shared" si="110"/>
        <v>54.742857142857147</v>
      </c>
      <c r="D247" s="152">
        <f t="shared" si="111"/>
        <v>55.042857142857144</v>
      </c>
      <c r="E247" s="153">
        <f t="shared" si="112"/>
        <v>22</v>
      </c>
      <c r="F247" s="154">
        <f t="shared" si="148"/>
        <v>3.2127034628803224</v>
      </c>
      <c r="G247" s="155">
        <f t="shared" si="113"/>
        <v>22</v>
      </c>
      <c r="H247" s="155">
        <f t="shared" si="149"/>
        <v>6.6097367946544363</v>
      </c>
      <c r="I247" s="208">
        <f t="shared" si="124"/>
        <v>22</v>
      </c>
      <c r="J247" s="208">
        <f t="shared" ref="J247" si="154">0.5*$A$3*$B247*$B247*I247*0.001</f>
        <v>3.2127034628803224</v>
      </c>
      <c r="K247" s="155">
        <f t="shared" si="115"/>
        <v>22</v>
      </c>
      <c r="L247" s="155">
        <f t="shared" si="150"/>
        <v>4.6212660268403933</v>
      </c>
      <c r="M247" s="208">
        <f t="shared" si="125"/>
        <v>22</v>
      </c>
      <c r="N247" s="208">
        <f t="shared" si="130"/>
        <v>3.2127034628803224</v>
      </c>
      <c r="O247" s="155">
        <f t="shared" si="117"/>
        <v>22</v>
      </c>
      <c r="P247" s="155">
        <f t="shared" si="151"/>
        <v>4.4142758187975222</v>
      </c>
      <c r="Q247" s="208">
        <f t="shared" si="126"/>
        <v>22</v>
      </c>
      <c r="R247" s="208">
        <f t="shared" si="131"/>
        <v>3.2127034628803224</v>
      </c>
      <c r="S247" s="155">
        <f t="shared" si="119"/>
        <v>22</v>
      </c>
      <c r="T247" s="155">
        <f t="shared" si="152"/>
        <v>4.1608443370833328</v>
      </c>
      <c r="U247" s="208">
        <f t="shared" si="127"/>
        <v>22</v>
      </c>
      <c r="V247" s="208">
        <f t="shared" si="132"/>
        <v>3.2127034628803224</v>
      </c>
      <c r="W247" s="155">
        <f t="shared" si="121"/>
        <v>22</v>
      </c>
      <c r="X247" s="155">
        <f t="shared" si="153"/>
        <v>3.9227321310367782</v>
      </c>
      <c r="Y247" s="208">
        <f t="shared" si="128"/>
        <v>22</v>
      </c>
      <c r="Z247" s="208">
        <f t="shared" si="133"/>
        <v>3.2127034628803224</v>
      </c>
    </row>
    <row r="248" spans="1:26">
      <c r="A248" s="150">
        <v>1.21</v>
      </c>
      <c r="B248" s="151">
        <f t="shared" si="123"/>
        <v>1.1129508428256785</v>
      </c>
      <c r="C248" s="152">
        <f t="shared" si="110"/>
        <v>54.742857142857147</v>
      </c>
      <c r="D248" s="152">
        <f t="shared" si="111"/>
        <v>55.042857142857144</v>
      </c>
      <c r="E248" s="153">
        <f t="shared" si="112"/>
        <v>22</v>
      </c>
      <c r="F248" s="154">
        <f t="shared" si="148"/>
        <v>3.2700612873624642</v>
      </c>
      <c r="G248" s="155">
        <f t="shared" si="113"/>
        <v>22</v>
      </c>
      <c r="H248" s="155">
        <f t="shared" si="149"/>
        <v>6.6640354371883728</v>
      </c>
      <c r="I248" s="208">
        <f t="shared" si="124"/>
        <v>22</v>
      </c>
      <c r="J248" s="208">
        <f>0.5*Lm*$B248*$B248*I248*0.001</f>
        <v>3.2700612873624642</v>
      </c>
      <c r="K248" s="155">
        <f t="shared" si="115"/>
        <v>22</v>
      </c>
      <c r="L248" s="155">
        <f t="shared" si="150"/>
        <v>4.657892670229427</v>
      </c>
      <c r="M248" s="208">
        <f t="shared" si="125"/>
        <v>22</v>
      </c>
      <c r="N248" s="208">
        <f t="shared" si="130"/>
        <v>3.2700612873624642</v>
      </c>
      <c r="O248" s="155">
        <f t="shared" si="117"/>
        <v>22</v>
      </c>
      <c r="P248" s="155">
        <f t="shared" si="151"/>
        <v>4.4490628923830942</v>
      </c>
      <c r="Q248" s="208">
        <f t="shared" si="126"/>
        <v>22</v>
      </c>
      <c r="R248" s="208">
        <f t="shared" si="131"/>
        <v>3.2700612873624642</v>
      </c>
      <c r="S248" s="155">
        <f t="shared" si="119"/>
        <v>22</v>
      </c>
      <c r="T248" s="155">
        <f t="shared" si="152"/>
        <v>4.1933791065361827</v>
      </c>
      <c r="U248" s="208">
        <f t="shared" si="127"/>
        <v>22</v>
      </c>
      <c r="V248" s="208">
        <f t="shared" si="132"/>
        <v>3.2700612873624642</v>
      </c>
      <c r="W248" s="155">
        <f t="shared" si="121"/>
        <v>22</v>
      </c>
      <c r="X248" s="155">
        <f t="shared" si="153"/>
        <v>3.9531507422992451</v>
      </c>
      <c r="Y248" s="208">
        <f t="shared" si="128"/>
        <v>22</v>
      </c>
      <c r="Z248" s="208">
        <f t="shared" si="133"/>
        <v>3.2700612873624642</v>
      </c>
    </row>
    <row r="249" spans="1:26">
      <c r="A249" s="150">
        <v>1.22</v>
      </c>
      <c r="B249" s="151">
        <f t="shared" si="123"/>
        <v>1.1227547643943057</v>
      </c>
      <c r="C249" s="152">
        <f t="shared" si="110"/>
        <v>54.742857142857147</v>
      </c>
      <c r="D249" s="152">
        <f t="shared" si="111"/>
        <v>55.042857142857144</v>
      </c>
      <c r="E249" s="153">
        <f t="shared" si="112"/>
        <v>22</v>
      </c>
      <c r="F249" s="154">
        <f t="shared" si="148"/>
        <v>3.3279266089610977</v>
      </c>
      <c r="G249" s="155">
        <f t="shared" si="113"/>
        <v>22</v>
      </c>
      <c r="H249" s="155">
        <f t="shared" si="149"/>
        <v>6.7183340797223092</v>
      </c>
      <c r="I249" s="208">
        <f t="shared" si="124"/>
        <v>22</v>
      </c>
      <c r="J249" s="208">
        <f t="shared" ref="J249" si="155">0.5*$A$3*$B249*$B249*I249*0.001</f>
        <v>3.3279266089610977</v>
      </c>
      <c r="K249" s="155">
        <f t="shared" si="115"/>
        <v>22</v>
      </c>
      <c r="L249" s="155">
        <f t="shared" si="150"/>
        <v>4.6945193136184606</v>
      </c>
      <c r="M249" s="208">
        <f t="shared" si="125"/>
        <v>22</v>
      </c>
      <c r="N249" s="208">
        <f t="shared" si="130"/>
        <v>3.3279266089610977</v>
      </c>
      <c r="O249" s="155">
        <f t="shared" si="117"/>
        <v>22</v>
      </c>
      <c r="P249" s="155">
        <f t="shared" si="151"/>
        <v>4.4838499659686661</v>
      </c>
      <c r="Q249" s="208">
        <f t="shared" si="126"/>
        <v>22</v>
      </c>
      <c r="R249" s="208">
        <f t="shared" si="131"/>
        <v>3.3279266089610977</v>
      </c>
      <c r="S249" s="155">
        <f t="shared" si="119"/>
        <v>22</v>
      </c>
      <c r="T249" s="155">
        <f t="shared" si="152"/>
        <v>4.2259138759890318</v>
      </c>
      <c r="U249" s="208">
        <f t="shared" si="127"/>
        <v>22</v>
      </c>
      <c r="V249" s="208">
        <f t="shared" si="132"/>
        <v>3.3279266089610977</v>
      </c>
      <c r="W249" s="155">
        <f t="shared" si="121"/>
        <v>22</v>
      </c>
      <c r="X249" s="155">
        <f t="shared" si="153"/>
        <v>3.9835693535617125</v>
      </c>
      <c r="Y249" s="208">
        <f t="shared" si="128"/>
        <v>22</v>
      </c>
      <c r="Z249" s="208">
        <f t="shared" si="133"/>
        <v>3.3279266089610977</v>
      </c>
    </row>
    <row r="250" spans="1:26">
      <c r="A250" s="150">
        <v>1.23</v>
      </c>
      <c r="B250" s="151">
        <f t="shared" si="123"/>
        <v>1.1325586859629333</v>
      </c>
      <c r="C250" s="152">
        <f t="shared" si="110"/>
        <v>54.742857142857147</v>
      </c>
      <c r="D250" s="152">
        <f t="shared" si="111"/>
        <v>55.042857142857144</v>
      </c>
      <c r="E250" s="153">
        <f t="shared" si="112"/>
        <v>22</v>
      </c>
      <c r="F250" s="154">
        <f t="shared" si="148"/>
        <v>3.3862994276762275</v>
      </c>
      <c r="G250" s="155">
        <f t="shared" si="113"/>
        <v>22</v>
      </c>
      <c r="H250" s="155">
        <f t="shared" si="149"/>
        <v>6.7726327222562457</v>
      </c>
      <c r="I250" s="208">
        <f t="shared" si="124"/>
        <v>22</v>
      </c>
      <c r="J250" s="208">
        <f>0.5*Lm*$B250*$B250*I250*0.001</f>
        <v>3.3862994276762275</v>
      </c>
      <c r="K250" s="155">
        <f t="shared" si="115"/>
        <v>22</v>
      </c>
      <c r="L250" s="155">
        <f t="shared" si="150"/>
        <v>4.7311459570074934</v>
      </c>
      <c r="M250" s="208">
        <f t="shared" si="125"/>
        <v>22</v>
      </c>
      <c r="N250" s="208">
        <f t="shared" si="130"/>
        <v>3.3862994276762275</v>
      </c>
      <c r="O250" s="155">
        <f t="shared" si="117"/>
        <v>22</v>
      </c>
      <c r="P250" s="155">
        <f t="shared" si="151"/>
        <v>4.5186370395542372</v>
      </c>
      <c r="Q250" s="208">
        <f t="shared" si="126"/>
        <v>22</v>
      </c>
      <c r="R250" s="208">
        <f t="shared" si="131"/>
        <v>3.3862994276762275</v>
      </c>
      <c r="S250" s="155">
        <f t="shared" si="119"/>
        <v>22</v>
      </c>
      <c r="T250" s="155">
        <f t="shared" si="152"/>
        <v>4.2584486454418808</v>
      </c>
      <c r="U250" s="208">
        <f t="shared" si="127"/>
        <v>22</v>
      </c>
      <c r="V250" s="208">
        <f t="shared" si="132"/>
        <v>3.3862994276762275</v>
      </c>
      <c r="W250" s="155">
        <f t="shared" si="121"/>
        <v>22</v>
      </c>
      <c r="X250" s="155">
        <f t="shared" si="153"/>
        <v>4.0139879648241799</v>
      </c>
      <c r="Y250" s="208">
        <f t="shared" si="128"/>
        <v>22</v>
      </c>
      <c r="Z250" s="208">
        <f t="shared" si="133"/>
        <v>3.3862994276762275</v>
      </c>
    </row>
    <row r="251" spans="1:26">
      <c r="A251" s="150">
        <v>1.24</v>
      </c>
      <c r="B251" s="151">
        <f t="shared" si="123"/>
        <v>1.1423626075315607</v>
      </c>
      <c r="C251" s="152">
        <f t="shared" si="110"/>
        <v>54.742857142857147</v>
      </c>
      <c r="D251" s="152">
        <f t="shared" si="111"/>
        <v>55.042857142857144</v>
      </c>
      <c r="E251" s="153">
        <f t="shared" si="112"/>
        <v>22</v>
      </c>
      <c r="F251" s="154">
        <f t="shared" si="148"/>
        <v>3.4451797435078499</v>
      </c>
      <c r="G251" s="155">
        <f t="shared" si="113"/>
        <v>22</v>
      </c>
      <c r="H251" s="155">
        <f t="shared" si="149"/>
        <v>6.826931364790183</v>
      </c>
      <c r="I251" s="208">
        <f t="shared" si="124"/>
        <v>22</v>
      </c>
      <c r="J251" s="208">
        <f t="shared" ref="J251" si="156">0.5*$A$3*$B251*$B251*I251*0.001</f>
        <v>3.4451797435078499</v>
      </c>
      <c r="K251" s="155">
        <f t="shared" si="115"/>
        <v>22</v>
      </c>
      <c r="L251" s="155">
        <f t="shared" si="150"/>
        <v>4.7677726003965279</v>
      </c>
      <c r="M251" s="208">
        <f t="shared" si="125"/>
        <v>22</v>
      </c>
      <c r="N251" s="208">
        <f t="shared" si="130"/>
        <v>3.4451797435078499</v>
      </c>
      <c r="O251" s="155">
        <f t="shared" si="117"/>
        <v>22</v>
      </c>
      <c r="P251" s="155">
        <f t="shared" si="151"/>
        <v>4.5534241131398101</v>
      </c>
      <c r="Q251" s="208">
        <f t="shared" si="126"/>
        <v>22</v>
      </c>
      <c r="R251" s="208">
        <f t="shared" si="131"/>
        <v>3.4451797435078499</v>
      </c>
      <c r="S251" s="155">
        <f t="shared" si="119"/>
        <v>22</v>
      </c>
      <c r="T251" s="155">
        <f t="shared" si="152"/>
        <v>4.2909834148947308</v>
      </c>
      <c r="U251" s="208">
        <f t="shared" si="127"/>
        <v>22</v>
      </c>
      <c r="V251" s="208">
        <f t="shared" si="132"/>
        <v>3.4451797435078499</v>
      </c>
      <c r="W251" s="155">
        <f t="shared" si="121"/>
        <v>22</v>
      </c>
      <c r="X251" s="155">
        <f t="shared" si="153"/>
        <v>4.0444065760866472</v>
      </c>
      <c r="Y251" s="208">
        <f t="shared" si="128"/>
        <v>22</v>
      </c>
      <c r="Z251" s="208">
        <f t="shared" si="133"/>
        <v>3.4451797435078499</v>
      </c>
    </row>
    <row r="252" spans="1:26">
      <c r="A252" s="150">
        <v>1.25</v>
      </c>
      <c r="B252" s="151">
        <f t="shared" si="123"/>
        <v>1.1521665291001881</v>
      </c>
      <c r="C252" s="152">
        <f t="shared" si="110"/>
        <v>54.742857142857147</v>
      </c>
      <c r="D252" s="152">
        <f t="shared" si="111"/>
        <v>55.042857142857144</v>
      </c>
      <c r="E252" s="153">
        <f t="shared" si="112"/>
        <v>22</v>
      </c>
      <c r="F252" s="154">
        <f t="shared" si="148"/>
        <v>3.5045675564559646</v>
      </c>
      <c r="G252" s="155">
        <f t="shared" si="113"/>
        <v>22</v>
      </c>
      <c r="H252" s="155">
        <f t="shared" si="149"/>
        <v>6.8812300073241186</v>
      </c>
      <c r="I252" s="208">
        <f t="shared" si="124"/>
        <v>22</v>
      </c>
      <c r="J252" s="208">
        <f>0.5*Lm*$B252*$B252*I252*0.001</f>
        <v>3.5045675564559646</v>
      </c>
      <c r="K252" s="155">
        <f t="shared" si="115"/>
        <v>22</v>
      </c>
      <c r="L252" s="155">
        <f t="shared" si="150"/>
        <v>4.8043992437855607</v>
      </c>
      <c r="M252" s="208">
        <f t="shared" si="125"/>
        <v>22</v>
      </c>
      <c r="N252" s="208">
        <f t="shared" si="130"/>
        <v>3.5045675564559646</v>
      </c>
      <c r="O252" s="155">
        <f t="shared" si="117"/>
        <v>22</v>
      </c>
      <c r="P252" s="155">
        <f t="shared" si="151"/>
        <v>4.5882111867253812</v>
      </c>
      <c r="Q252" s="208">
        <f t="shared" si="126"/>
        <v>22</v>
      </c>
      <c r="R252" s="208">
        <f t="shared" si="131"/>
        <v>3.5045675564559646</v>
      </c>
      <c r="S252" s="155">
        <f t="shared" si="119"/>
        <v>22</v>
      </c>
      <c r="T252" s="155">
        <f t="shared" si="152"/>
        <v>4.3235181843475798</v>
      </c>
      <c r="U252" s="208">
        <f t="shared" si="127"/>
        <v>22</v>
      </c>
      <c r="V252" s="208">
        <f t="shared" si="132"/>
        <v>3.5045675564559646</v>
      </c>
      <c r="W252" s="155">
        <f t="shared" si="121"/>
        <v>22</v>
      </c>
      <c r="X252" s="155">
        <f t="shared" si="153"/>
        <v>4.0748251873491137</v>
      </c>
      <c r="Y252" s="208">
        <f t="shared" si="128"/>
        <v>22</v>
      </c>
      <c r="Z252" s="208">
        <f t="shared" si="133"/>
        <v>3.5045675564559646</v>
      </c>
    </row>
    <row r="253" spans="1:26">
      <c r="A253" s="150">
        <v>1.26</v>
      </c>
      <c r="B253" s="151">
        <f t="shared" si="123"/>
        <v>1.1619704506688158</v>
      </c>
      <c r="C253" s="152">
        <f t="shared" si="110"/>
        <v>54.179327731092442</v>
      </c>
      <c r="D253" s="152">
        <f t="shared" si="111"/>
        <v>54.47932773109244</v>
      </c>
      <c r="E253" s="153">
        <f t="shared" si="112"/>
        <v>22</v>
      </c>
      <c r="F253" s="154">
        <f t="shared" si="148"/>
        <v>3.564462866520576</v>
      </c>
      <c r="G253" s="155">
        <f t="shared" si="113"/>
        <v>22</v>
      </c>
      <c r="H253" s="155">
        <f t="shared" si="149"/>
        <v>6.9355286498580568</v>
      </c>
      <c r="I253" s="208">
        <f t="shared" si="124"/>
        <v>22</v>
      </c>
      <c r="J253" s="208">
        <f t="shared" ref="J253" si="157">0.5*$A$3*$B253*$B253*I253*0.001</f>
        <v>3.564462866520576</v>
      </c>
      <c r="K253" s="155">
        <f t="shared" si="115"/>
        <v>22</v>
      </c>
      <c r="L253" s="155">
        <f t="shared" si="150"/>
        <v>4.8410258871745953</v>
      </c>
      <c r="M253" s="208">
        <f t="shared" si="125"/>
        <v>22</v>
      </c>
      <c r="N253" s="208">
        <f t="shared" si="130"/>
        <v>3.564462866520576</v>
      </c>
      <c r="O253" s="155">
        <f t="shared" si="117"/>
        <v>22</v>
      </c>
      <c r="P253" s="155">
        <f t="shared" si="151"/>
        <v>4.6229982603109541</v>
      </c>
      <c r="Q253" s="208">
        <f t="shared" si="126"/>
        <v>22</v>
      </c>
      <c r="R253" s="208">
        <f t="shared" si="131"/>
        <v>3.564462866520576</v>
      </c>
      <c r="S253" s="155">
        <f t="shared" si="119"/>
        <v>22</v>
      </c>
      <c r="T253" s="155">
        <f t="shared" si="152"/>
        <v>4.3560529538004307</v>
      </c>
      <c r="U253" s="208">
        <f t="shared" si="127"/>
        <v>22</v>
      </c>
      <c r="V253" s="208">
        <f t="shared" si="132"/>
        <v>3.564462866520576</v>
      </c>
      <c r="W253" s="155">
        <f t="shared" si="121"/>
        <v>22</v>
      </c>
      <c r="X253" s="155">
        <f t="shared" si="153"/>
        <v>4.105243798611582</v>
      </c>
      <c r="Y253" s="208">
        <f t="shared" si="128"/>
        <v>22</v>
      </c>
      <c r="Z253" s="208">
        <f t="shared" si="133"/>
        <v>3.564462866520576</v>
      </c>
    </row>
    <row r="254" spans="1:26">
      <c r="A254" s="150">
        <v>1.27</v>
      </c>
      <c r="B254" s="151">
        <f t="shared" si="123"/>
        <v>1.1717743722374432</v>
      </c>
      <c r="C254" s="152">
        <f t="shared" si="110"/>
        <v>53.61579831932773</v>
      </c>
      <c r="D254" s="152">
        <f t="shared" si="111"/>
        <v>53.915798319327727</v>
      </c>
      <c r="E254" s="153">
        <f t="shared" si="112"/>
        <v>22</v>
      </c>
      <c r="F254" s="154">
        <f t="shared" si="148"/>
        <v>3.6248656737016787</v>
      </c>
      <c r="G254" s="155">
        <f t="shared" si="113"/>
        <v>22</v>
      </c>
      <c r="H254" s="155">
        <f t="shared" si="149"/>
        <v>6.9898272923919924</v>
      </c>
      <c r="I254" s="208">
        <f t="shared" si="124"/>
        <v>22</v>
      </c>
      <c r="J254" s="208">
        <f>0.5*Lm*$B254*$B254*I254*0.001</f>
        <v>3.6248656737016787</v>
      </c>
      <c r="K254" s="155">
        <f t="shared" si="115"/>
        <v>22</v>
      </c>
      <c r="L254" s="155">
        <f t="shared" si="150"/>
        <v>4.877652530563628</v>
      </c>
      <c r="M254" s="208">
        <f t="shared" si="125"/>
        <v>22</v>
      </c>
      <c r="N254" s="208">
        <f t="shared" si="130"/>
        <v>3.6248656737016787</v>
      </c>
      <c r="O254" s="155">
        <f t="shared" si="117"/>
        <v>22</v>
      </c>
      <c r="P254" s="155">
        <f t="shared" si="151"/>
        <v>4.6577853338965252</v>
      </c>
      <c r="Q254" s="208">
        <f t="shared" si="126"/>
        <v>22</v>
      </c>
      <c r="R254" s="208">
        <f t="shared" si="131"/>
        <v>3.6248656737016787</v>
      </c>
      <c r="S254" s="155">
        <f t="shared" si="119"/>
        <v>22</v>
      </c>
      <c r="T254" s="155">
        <f t="shared" si="152"/>
        <v>4.3885877232532797</v>
      </c>
      <c r="U254" s="208">
        <f t="shared" si="127"/>
        <v>22</v>
      </c>
      <c r="V254" s="208">
        <f t="shared" si="132"/>
        <v>3.6248656737016787</v>
      </c>
      <c r="W254" s="155">
        <f t="shared" si="121"/>
        <v>22</v>
      </c>
      <c r="X254" s="155">
        <f t="shared" si="153"/>
        <v>4.1356624098740484</v>
      </c>
      <c r="Y254" s="208">
        <f t="shared" si="128"/>
        <v>22</v>
      </c>
      <c r="Z254" s="208">
        <f t="shared" si="133"/>
        <v>3.6248656737016787</v>
      </c>
    </row>
    <row r="255" spans="1:26">
      <c r="A255" s="150">
        <v>1.28</v>
      </c>
      <c r="B255" s="151">
        <f t="shared" si="123"/>
        <v>1.1815782938060706</v>
      </c>
      <c r="C255" s="152">
        <f t="shared" si="110"/>
        <v>53.052268907563032</v>
      </c>
      <c r="D255" s="152">
        <f t="shared" si="111"/>
        <v>53.35226890756303</v>
      </c>
      <c r="E255" s="153">
        <f t="shared" si="112"/>
        <v>22</v>
      </c>
      <c r="F255" s="154">
        <f t="shared" si="148"/>
        <v>3.6857759779992758</v>
      </c>
      <c r="G255" s="155">
        <f t="shared" si="113"/>
        <v>22</v>
      </c>
      <c r="H255" s="155">
        <f t="shared" si="149"/>
        <v>7.0441259349259298</v>
      </c>
      <c r="I255" s="208">
        <f t="shared" si="124"/>
        <v>22</v>
      </c>
      <c r="J255" s="208">
        <f t="shared" ref="J255" si="158">0.5*$A$3*$B255*$B255*I255*0.001</f>
        <v>3.6857759779992758</v>
      </c>
      <c r="K255" s="155">
        <f t="shared" si="115"/>
        <v>22</v>
      </c>
      <c r="L255" s="155">
        <f t="shared" si="150"/>
        <v>4.9142791739526617</v>
      </c>
      <c r="M255" s="208">
        <f t="shared" si="125"/>
        <v>22</v>
      </c>
      <c r="N255" s="208">
        <f t="shared" si="130"/>
        <v>3.6857759779992758</v>
      </c>
      <c r="O255" s="155">
        <f t="shared" si="117"/>
        <v>22</v>
      </c>
      <c r="P255" s="155">
        <f t="shared" si="151"/>
        <v>4.6925724074820971</v>
      </c>
      <c r="Q255" s="208">
        <f t="shared" si="126"/>
        <v>22</v>
      </c>
      <c r="R255" s="208">
        <f t="shared" si="131"/>
        <v>3.6857759779992758</v>
      </c>
      <c r="S255" s="155">
        <f t="shared" si="119"/>
        <v>22</v>
      </c>
      <c r="T255" s="155">
        <f t="shared" si="152"/>
        <v>4.4211224927061297</v>
      </c>
      <c r="U255" s="208">
        <f t="shared" si="127"/>
        <v>22</v>
      </c>
      <c r="V255" s="208">
        <f t="shared" si="132"/>
        <v>3.6857759779992758</v>
      </c>
      <c r="W255" s="155">
        <f t="shared" si="121"/>
        <v>22</v>
      </c>
      <c r="X255" s="155">
        <f t="shared" si="153"/>
        <v>4.1660810211365158</v>
      </c>
      <c r="Y255" s="208">
        <f t="shared" si="128"/>
        <v>22</v>
      </c>
      <c r="Z255" s="208">
        <f t="shared" si="133"/>
        <v>3.6857759779992758</v>
      </c>
    </row>
    <row r="256" spans="1:26">
      <c r="A256" s="150">
        <v>1.29</v>
      </c>
      <c r="B256" s="151">
        <f t="shared" si="123"/>
        <v>1.191382215374698</v>
      </c>
      <c r="C256" s="152">
        <f t="shared" si="110"/>
        <v>52.48873949579832</v>
      </c>
      <c r="D256" s="152">
        <f t="shared" si="111"/>
        <v>52.788739495798318</v>
      </c>
      <c r="E256" s="153">
        <f t="shared" si="112"/>
        <v>22</v>
      </c>
      <c r="F256" s="154">
        <f t="shared" si="148"/>
        <v>3.7471937794133656</v>
      </c>
      <c r="G256" s="155">
        <f t="shared" si="113"/>
        <v>22</v>
      </c>
      <c r="H256" s="155">
        <f t="shared" si="149"/>
        <v>7.0984245774598653</v>
      </c>
      <c r="I256" s="208">
        <f t="shared" si="124"/>
        <v>22</v>
      </c>
      <c r="J256" s="208">
        <f>0.5*Lm*$B256*$B256*I256*0.001</f>
        <v>3.7471937794133656</v>
      </c>
      <c r="K256" s="155">
        <f t="shared" si="115"/>
        <v>22</v>
      </c>
      <c r="L256" s="155">
        <f t="shared" si="150"/>
        <v>4.9509058173416935</v>
      </c>
      <c r="M256" s="208">
        <f t="shared" si="125"/>
        <v>22</v>
      </c>
      <c r="N256" s="208">
        <f t="shared" si="130"/>
        <v>3.7471937794133656</v>
      </c>
      <c r="O256" s="155">
        <f t="shared" si="117"/>
        <v>22</v>
      </c>
      <c r="P256" s="155">
        <f t="shared" si="151"/>
        <v>4.7273594810676673</v>
      </c>
      <c r="Q256" s="208">
        <f t="shared" si="126"/>
        <v>22</v>
      </c>
      <c r="R256" s="208">
        <f t="shared" si="131"/>
        <v>3.7471937794133656</v>
      </c>
      <c r="S256" s="155">
        <f t="shared" si="119"/>
        <v>22</v>
      </c>
      <c r="T256" s="155">
        <f t="shared" si="152"/>
        <v>4.4536572621589787</v>
      </c>
      <c r="U256" s="208">
        <f t="shared" si="127"/>
        <v>22</v>
      </c>
      <c r="V256" s="208">
        <f t="shared" si="132"/>
        <v>3.7471937794133656</v>
      </c>
      <c r="W256" s="155">
        <f t="shared" si="121"/>
        <v>22</v>
      </c>
      <c r="X256" s="155">
        <f t="shared" si="153"/>
        <v>4.1964996323989823</v>
      </c>
      <c r="Y256" s="208">
        <f t="shared" si="128"/>
        <v>22</v>
      </c>
      <c r="Z256" s="208">
        <f t="shared" si="133"/>
        <v>3.7471937794133656</v>
      </c>
    </row>
    <row r="257" spans="1:26">
      <c r="A257" s="150">
        <v>1.3</v>
      </c>
      <c r="B257" s="151">
        <f t="shared" si="123"/>
        <v>1.2011861369433257</v>
      </c>
      <c r="C257" s="152">
        <f t="shared" si="110"/>
        <v>51.925210084033615</v>
      </c>
      <c r="D257" s="152">
        <f t="shared" si="111"/>
        <v>52.225210084033613</v>
      </c>
      <c r="E257" s="153">
        <f t="shared" si="112"/>
        <v>22</v>
      </c>
      <c r="F257" s="154">
        <f t="shared" si="148"/>
        <v>3.8091190779439512</v>
      </c>
      <c r="G257" s="155">
        <f t="shared" si="113"/>
        <v>22</v>
      </c>
      <c r="H257" s="155">
        <f t="shared" si="149"/>
        <v>7.1527232199938044</v>
      </c>
      <c r="I257" s="208">
        <f t="shared" si="124"/>
        <v>22</v>
      </c>
      <c r="J257" s="208">
        <f t="shared" ref="J257" si="159">0.5*$A$3*$B257*$B257*I257*0.001</f>
        <v>3.8091190779439512</v>
      </c>
      <c r="K257" s="155">
        <f t="shared" si="115"/>
        <v>22</v>
      </c>
      <c r="L257" s="155">
        <f t="shared" si="150"/>
        <v>4.987532460730729</v>
      </c>
      <c r="M257" s="208">
        <f t="shared" si="125"/>
        <v>22</v>
      </c>
      <c r="N257" s="208">
        <f t="shared" si="130"/>
        <v>3.8091190779439512</v>
      </c>
      <c r="O257" s="155">
        <f t="shared" si="117"/>
        <v>22</v>
      </c>
      <c r="P257" s="155">
        <f t="shared" si="151"/>
        <v>4.7621465546532411</v>
      </c>
      <c r="Q257" s="208">
        <f t="shared" si="126"/>
        <v>22</v>
      </c>
      <c r="R257" s="208">
        <f t="shared" si="131"/>
        <v>3.8091190779439512</v>
      </c>
      <c r="S257" s="155">
        <f t="shared" si="119"/>
        <v>22</v>
      </c>
      <c r="T257" s="155">
        <f t="shared" si="152"/>
        <v>4.4861920316118296</v>
      </c>
      <c r="U257" s="208">
        <f t="shared" si="127"/>
        <v>22</v>
      </c>
      <c r="V257" s="208">
        <f t="shared" si="132"/>
        <v>3.8091190779439512</v>
      </c>
      <c r="W257" s="155">
        <f t="shared" si="121"/>
        <v>22</v>
      </c>
      <c r="X257" s="155">
        <f t="shared" si="153"/>
        <v>4.2269182436614505</v>
      </c>
      <c r="Y257" s="208">
        <f t="shared" si="128"/>
        <v>22</v>
      </c>
      <c r="Z257" s="208">
        <f t="shared" si="133"/>
        <v>3.8091190779439512</v>
      </c>
    </row>
    <row r="258" spans="1:26">
      <c r="A258" s="150">
        <v>1.31</v>
      </c>
      <c r="B258" s="151">
        <f t="shared" si="123"/>
        <v>1.2109900585119528</v>
      </c>
      <c r="C258" s="152">
        <f t="shared" si="110"/>
        <v>51.361680672268911</v>
      </c>
      <c r="D258" s="152">
        <f t="shared" si="111"/>
        <v>51.661680672268908</v>
      </c>
      <c r="E258" s="153">
        <f t="shared" si="112"/>
        <v>22</v>
      </c>
      <c r="F258" s="154">
        <f t="shared" si="148"/>
        <v>3.8715518735910268</v>
      </c>
      <c r="G258" s="155">
        <f t="shared" si="113"/>
        <v>22</v>
      </c>
      <c r="H258" s="155">
        <f t="shared" si="149"/>
        <v>7.2070218625277382</v>
      </c>
      <c r="I258" s="208">
        <f t="shared" si="124"/>
        <v>22</v>
      </c>
      <c r="J258" s="208">
        <f>0.5*Lm*$B258*$B258*I258*0.001</f>
        <v>3.8715518735910268</v>
      </c>
      <c r="K258" s="155">
        <f t="shared" si="115"/>
        <v>22</v>
      </c>
      <c r="L258" s="155">
        <f t="shared" si="150"/>
        <v>5.0241591041197609</v>
      </c>
      <c r="M258" s="208">
        <f t="shared" si="125"/>
        <v>22</v>
      </c>
      <c r="N258" s="208">
        <f t="shared" si="130"/>
        <v>3.8715518735910268</v>
      </c>
      <c r="O258" s="155">
        <f t="shared" si="117"/>
        <v>22</v>
      </c>
      <c r="P258" s="155">
        <f t="shared" si="151"/>
        <v>4.7969336282388113</v>
      </c>
      <c r="Q258" s="208">
        <f t="shared" si="126"/>
        <v>22</v>
      </c>
      <c r="R258" s="208">
        <f t="shared" si="131"/>
        <v>3.8715518735910268</v>
      </c>
      <c r="S258" s="155">
        <f t="shared" si="119"/>
        <v>22</v>
      </c>
      <c r="T258" s="155">
        <f t="shared" si="152"/>
        <v>4.5187268010646777</v>
      </c>
      <c r="U258" s="208">
        <f t="shared" si="127"/>
        <v>22</v>
      </c>
      <c r="V258" s="208">
        <f t="shared" si="132"/>
        <v>3.8715518735910268</v>
      </c>
      <c r="W258" s="155">
        <f t="shared" si="121"/>
        <v>22</v>
      </c>
      <c r="X258" s="155">
        <f t="shared" si="153"/>
        <v>4.2573368549239161</v>
      </c>
      <c r="Y258" s="208">
        <f t="shared" si="128"/>
        <v>22</v>
      </c>
      <c r="Z258" s="208">
        <f t="shared" si="133"/>
        <v>3.8715518735910268</v>
      </c>
    </row>
    <row r="259" spans="1:26">
      <c r="A259" s="150">
        <v>1.32</v>
      </c>
      <c r="B259" s="151">
        <f t="shared" si="123"/>
        <v>1.2207939800805805</v>
      </c>
      <c r="C259" s="152">
        <f t="shared" si="110"/>
        <v>50.798151260504198</v>
      </c>
      <c r="D259" s="152">
        <f t="shared" si="111"/>
        <v>51.098151260504196</v>
      </c>
      <c r="E259" s="153">
        <f t="shared" si="112"/>
        <v>22</v>
      </c>
      <c r="F259" s="154">
        <f t="shared" si="148"/>
        <v>3.9344921663546004</v>
      </c>
      <c r="G259" s="155">
        <f t="shared" si="113"/>
        <v>22</v>
      </c>
      <c r="H259" s="155">
        <f t="shared" si="149"/>
        <v>7.2613205050616774</v>
      </c>
      <c r="I259" s="208">
        <f t="shared" si="124"/>
        <v>22</v>
      </c>
      <c r="J259" s="208">
        <f t="shared" ref="J259" si="160">0.5*$A$3*$B259*$B259*I259*0.001</f>
        <v>3.9344921663546004</v>
      </c>
      <c r="K259" s="155">
        <f t="shared" si="115"/>
        <v>22</v>
      </c>
      <c r="L259" s="155">
        <f t="shared" si="150"/>
        <v>5.0607857475087954</v>
      </c>
      <c r="M259" s="208">
        <f t="shared" si="125"/>
        <v>22</v>
      </c>
      <c r="N259" s="208">
        <f t="shared" si="130"/>
        <v>3.9344921663546004</v>
      </c>
      <c r="O259" s="155">
        <f t="shared" si="117"/>
        <v>22</v>
      </c>
      <c r="P259" s="155">
        <f t="shared" si="151"/>
        <v>4.8317207018243842</v>
      </c>
      <c r="Q259" s="208">
        <f t="shared" si="126"/>
        <v>22</v>
      </c>
      <c r="R259" s="208">
        <f t="shared" si="131"/>
        <v>3.9344921663546004</v>
      </c>
      <c r="S259" s="155">
        <f t="shared" si="119"/>
        <v>22</v>
      </c>
      <c r="T259" s="155">
        <f t="shared" si="152"/>
        <v>4.5512615705175286</v>
      </c>
      <c r="U259" s="208">
        <f t="shared" si="127"/>
        <v>22</v>
      </c>
      <c r="V259" s="208">
        <f t="shared" si="132"/>
        <v>3.9344921663546004</v>
      </c>
      <c r="W259" s="155">
        <f t="shared" si="121"/>
        <v>22</v>
      </c>
      <c r="X259" s="155">
        <f t="shared" si="153"/>
        <v>4.2877554661863844</v>
      </c>
      <c r="Y259" s="208">
        <f t="shared" si="128"/>
        <v>22</v>
      </c>
      <c r="Z259" s="208">
        <f t="shared" si="133"/>
        <v>3.9344921663546004</v>
      </c>
    </row>
    <row r="260" spans="1:26">
      <c r="A260" s="150">
        <v>1.33</v>
      </c>
      <c r="B260" s="151">
        <f t="shared" si="123"/>
        <v>1.2305979016492079</v>
      </c>
      <c r="C260" s="152">
        <f t="shared" si="110"/>
        <v>50.234621848739501</v>
      </c>
      <c r="D260" s="152">
        <f t="shared" si="111"/>
        <v>50.534621848739498</v>
      </c>
      <c r="E260" s="153">
        <f t="shared" si="112"/>
        <v>22</v>
      </c>
      <c r="F260" s="154">
        <f t="shared" si="148"/>
        <v>3.9979399562346649</v>
      </c>
      <c r="G260" s="155">
        <f t="shared" si="113"/>
        <v>22</v>
      </c>
      <c r="H260" s="155">
        <f t="shared" si="149"/>
        <v>7.315619147595612</v>
      </c>
      <c r="I260" s="208">
        <f t="shared" si="124"/>
        <v>22</v>
      </c>
      <c r="J260" s="208">
        <f>0.5*Lm*$B260*$B260*I260*0.001</f>
        <v>3.9979399562346649</v>
      </c>
      <c r="K260" s="155">
        <f t="shared" si="115"/>
        <v>22</v>
      </c>
      <c r="L260" s="155">
        <f t="shared" si="150"/>
        <v>5.0974123908978282</v>
      </c>
      <c r="M260" s="208">
        <f t="shared" si="125"/>
        <v>22</v>
      </c>
      <c r="N260" s="208">
        <f t="shared" si="130"/>
        <v>3.9979399562346649</v>
      </c>
      <c r="O260" s="155">
        <f t="shared" si="117"/>
        <v>22</v>
      </c>
      <c r="P260" s="155">
        <f t="shared" si="151"/>
        <v>4.8665077754099553</v>
      </c>
      <c r="Q260" s="208">
        <f t="shared" si="126"/>
        <v>22</v>
      </c>
      <c r="R260" s="208">
        <f t="shared" si="131"/>
        <v>3.9979399562346649</v>
      </c>
      <c r="S260" s="155">
        <f t="shared" si="119"/>
        <v>22</v>
      </c>
      <c r="T260" s="155">
        <f t="shared" si="152"/>
        <v>4.5837963399703776</v>
      </c>
      <c r="U260" s="208">
        <f t="shared" si="127"/>
        <v>22</v>
      </c>
      <c r="V260" s="208">
        <f t="shared" si="132"/>
        <v>3.9979399562346649</v>
      </c>
      <c r="W260" s="155">
        <f t="shared" si="121"/>
        <v>22</v>
      </c>
      <c r="X260" s="155">
        <f t="shared" si="153"/>
        <v>4.3181740774488508</v>
      </c>
      <c r="Y260" s="208">
        <f t="shared" si="128"/>
        <v>22</v>
      </c>
      <c r="Z260" s="208">
        <f t="shared" si="133"/>
        <v>3.9979399562346649</v>
      </c>
    </row>
    <row r="261" spans="1:26">
      <c r="A261" s="150">
        <v>1.34</v>
      </c>
      <c r="B261" s="151">
        <f t="shared" si="123"/>
        <v>1.2404018232178353</v>
      </c>
      <c r="C261" s="152">
        <f t="shared" si="110"/>
        <v>49.671092436974789</v>
      </c>
      <c r="D261" s="152">
        <f t="shared" si="111"/>
        <v>49.971092436974786</v>
      </c>
      <c r="E261" s="153">
        <f t="shared" si="112"/>
        <v>22</v>
      </c>
      <c r="F261" s="154">
        <f t="shared" si="148"/>
        <v>4.0618952432312234</v>
      </c>
      <c r="G261" s="155">
        <f t="shared" si="113"/>
        <v>22</v>
      </c>
      <c r="H261" s="155">
        <f t="shared" si="149"/>
        <v>7.3699177901295503</v>
      </c>
      <c r="I261" s="208">
        <f t="shared" si="124"/>
        <v>22</v>
      </c>
      <c r="J261" s="208">
        <f t="shared" ref="J261" si="161">0.5*$A$3*$B261*$B261*I261*0.001</f>
        <v>4.0618952432312234</v>
      </c>
      <c r="K261" s="155">
        <f t="shared" si="115"/>
        <v>22</v>
      </c>
      <c r="L261" s="155">
        <f t="shared" si="150"/>
        <v>5.1340390342868618</v>
      </c>
      <c r="M261" s="208">
        <f t="shared" si="125"/>
        <v>22</v>
      </c>
      <c r="N261" s="208">
        <f t="shared" si="130"/>
        <v>4.0618952432312234</v>
      </c>
      <c r="O261" s="155">
        <f t="shared" si="117"/>
        <v>22</v>
      </c>
      <c r="P261" s="155">
        <f t="shared" si="151"/>
        <v>4.9012948489955273</v>
      </c>
      <c r="Q261" s="208">
        <f t="shared" si="126"/>
        <v>22</v>
      </c>
      <c r="R261" s="208">
        <f t="shared" si="131"/>
        <v>4.0618952432312234</v>
      </c>
      <c r="S261" s="155">
        <f t="shared" si="119"/>
        <v>22</v>
      </c>
      <c r="T261" s="155">
        <f t="shared" si="152"/>
        <v>4.6163311094232276</v>
      </c>
      <c r="U261" s="208">
        <f t="shared" si="127"/>
        <v>22</v>
      </c>
      <c r="V261" s="208">
        <f t="shared" si="132"/>
        <v>4.0618952432312234</v>
      </c>
      <c r="W261" s="155">
        <f t="shared" si="121"/>
        <v>22</v>
      </c>
      <c r="X261" s="155">
        <f t="shared" si="153"/>
        <v>4.3485926887113191</v>
      </c>
      <c r="Y261" s="208">
        <f t="shared" si="128"/>
        <v>22</v>
      </c>
      <c r="Z261" s="208">
        <f t="shared" si="133"/>
        <v>4.0618952432312234</v>
      </c>
    </row>
    <row r="262" spans="1:26">
      <c r="A262" s="150">
        <v>1.35</v>
      </c>
      <c r="B262" s="151">
        <f t="shared" si="123"/>
        <v>1.2502057447864627</v>
      </c>
      <c r="C262" s="152">
        <f t="shared" si="110"/>
        <v>49.107563025210084</v>
      </c>
      <c r="D262" s="152">
        <f t="shared" si="111"/>
        <v>49.407563025210081</v>
      </c>
      <c r="E262" s="153">
        <f t="shared" si="112"/>
        <v>22</v>
      </c>
      <c r="F262" s="154">
        <f t="shared" si="148"/>
        <v>4.126358027344275</v>
      </c>
      <c r="G262" s="155">
        <f t="shared" si="113"/>
        <v>22</v>
      </c>
      <c r="H262" s="155">
        <f t="shared" si="149"/>
        <v>7.424216432663485</v>
      </c>
      <c r="I262" s="208">
        <f t="shared" si="124"/>
        <v>22</v>
      </c>
      <c r="J262" s="208">
        <f>0.5*Lm*$B262*$B262*I262*0.001</f>
        <v>4.126358027344275</v>
      </c>
      <c r="K262" s="155">
        <f t="shared" si="115"/>
        <v>22</v>
      </c>
      <c r="L262" s="155">
        <f t="shared" si="150"/>
        <v>5.1706656776758946</v>
      </c>
      <c r="M262" s="208">
        <f t="shared" si="125"/>
        <v>22</v>
      </c>
      <c r="N262" s="208">
        <f t="shared" si="130"/>
        <v>4.126358027344275</v>
      </c>
      <c r="O262" s="155">
        <f t="shared" si="117"/>
        <v>22</v>
      </c>
      <c r="P262" s="155">
        <f t="shared" si="151"/>
        <v>4.9360819225810983</v>
      </c>
      <c r="Q262" s="208">
        <f t="shared" si="126"/>
        <v>22</v>
      </c>
      <c r="R262" s="208">
        <f t="shared" si="131"/>
        <v>4.126358027344275</v>
      </c>
      <c r="S262" s="155">
        <f t="shared" si="119"/>
        <v>22</v>
      </c>
      <c r="T262" s="155">
        <f t="shared" si="152"/>
        <v>4.6488658788760766</v>
      </c>
      <c r="U262" s="208">
        <f t="shared" si="127"/>
        <v>22</v>
      </c>
      <c r="V262" s="208">
        <f t="shared" si="132"/>
        <v>4.126358027344275</v>
      </c>
      <c r="W262" s="155">
        <f t="shared" si="121"/>
        <v>22</v>
      </c>
      <c r="X262" s="155">
        <f t="shared" si="153"/>
        <v>4.3790112999737847</v>
      </c>
      <c r="Y262" s="208">
        <f t="shared" si="128"/>
        <v>22</v>
      </c>
      <c r="Z262" s="208">
        <f t="shared" si="133"/>
        <v>4.126358027344275</v>
      </c>
    </row>
    <row r="263" spans="1:26">
      <c r="A263" s="150">
        <v>1.36</v>
      </c>
      <c r="B263" s="151">
        <f t="shared" si="123"/>
        <v>1.2600096663550904</v>
      </c>
      <c r="C263" s="152">
        <f t="shared" si="110"/>
        <v>48.544033613445379</v>
      </c>
      <c r="D263" s="152">
        <f t="shared" si="111"/>
        <v>48.844033613445376</v>
      </c>
      <c r="E263" s="153">
        <f t="shared" si="112"/>
        <v>22</v>
      </c>
      <c r="F263" s="154">
        <f t="shared" si="148"/>
        <v>4.1913283085738229</v>
      </c>
      <c r="G263" s="155">
        <f t="shared" si="113"/>
        <v>22</v>
      </c>
      <c r="H263" s="155">
        <f t="shared" si="149"/>
        <v>7.478515075197425</v>
      </c>
      <c r="I263" s="208">
        <f t="shared" si="124"/>
        <v>22</v>
      </c>
      <c r="J263" s="208">
        <f t="shared" ref="J263" si="162">0.5*$A$3*$B263*$B263*I263*0.001</f>
        <v>4.1913283085738229</v>
      </c>
      <c r="K263" s="155">
        <f t="shared" si="115"/>
        <v>22</v>
      </c>
      <c r="L263" s="155">
        <f t="shared" si="150"/>
        <v>5.2072923210649291</v>
      </c>
      <c r="M263" s="208">
        <f t="shared" si="125"/>
        <v>22</v>
      </c>
      <c r="N263" s="208">
        <f t="shared" si="130"/>
        <v>4.1913283085738229</v>
      </c>
      <c r="O263" s="155">
        <f t="shared" si="117"/>
        <v>22</v>
      </c>
      <c r="P263" s="155">
        <f t="shared" si="151"/>
        <v>4.9708689961666712</v>
      </c>
      <c r="Q263" s="208">
        <f t="shared" si="126"/>
        <v>22</v>
      </c>
      <c r="R263" s="208">
        <f t="shared" si="131"/>
        <v>4.1913283085738229</v>
      </c>
      <c r="S263" s="155">
        <f t="shared" si="119"/>
        <v>22</v>
      </c>
      <c r="T263" s="155">
        <f t="shared" si="152"/>
        <v>4.6814006483289266</v>
      </c>
      <c r="U263" s="208">
        <f t="shared" si="127"/>
        <v>22</v>
      </c>
      <c r="V263" s="208">
        <f t="shared" si="132"/>
        <v>4.1913283085738229</v>
      </c>
      <c r="W263" s="155">
        <f t="shared" si="121"/>
        <v>22</v>
      </c>
      <c r="X263" s="155">
        <f t="shared" si="153"/>
        <v>4.4094299112362538</v>
      </c>
      <c r="Y263" s="208">
        <f t="shared" si="128"/>
        <v>22</v>
      </c>
      <c r="Z263" s="208">
        <f t="shared" si="133"/>
        <v>4.1913283085738229</v>
      </c>
    </row>
    <row r="264" spans="1:26">
      <c r="A264" s="150">
        <v>1.37</v>
      </c>
      <c r="B264" s="151">
        <f t="shared" si="123"/>
        <v>1.2698135879237176</v>
      </c>
      <c r="C264" s="152">
        <f t="shared" si="110"/>
        <v>47.980504201680667</v>
      </c>
      <c r="D264" s="152">
        <f t="shared" si="111"/>
        <v>48.280504201680664</v>
      </c>
      <c r="E264" s="153">
        <f t="shared" si="112"/>
        <v>22</v>
      </c>
      <c r="F264" s="154">
        <f t="shared" si="148"/>
        <v>4.2568060869198607</v>
      </c>
      <c r="G264" s="155">
        <f t="shared" si="113"/>
        <v>22</v>
      </c>
      <c r="H264" s="155">
        <f t="shared" si="149"/>
        <v>7.5328137177313579</v>
      </c>
      <c r="I264" s="208">
        <f t="shared" si="124"/>
        <v>22</v>
      </c>
      <c r="J264" s="208">
        <f>0.5*Lm*$B264*$B264*I264*0.001</f>
        <v>4.2568060869198607</v>
      </c>
      <c r="K264" s="155">
        <f t="shared" si="115"/>
        <v>22</v>
      </c>
      <c r="L264" s="155">
        <f t="shared" si="150"/>
        <v>5.243918964453961</v>
      </c>
      <c r="M264" s="208">
        <f t="shared" si="125"/>
        <v>22</v>
      </c>
      <c r="N264" s="208">
        <f t="shared" si="130"/>
        <v>4.2568060869198607</v>
      </c>
      <c r="O264" s="155">
        <f t="shared" si="117"/>
        <v>22</v>
      </c>
      <c r="P264" s="155">
        <f t="shared" si="151"/>
        <v>5.0056560697522414</v>
      </c>
      <c r="Q264" s="208">
        <f t="shared" si="126"/>
        <v>22</v>
      </c>
      <c r="R264" s="208">
        <f t="shared" si="131"/>
        <v>4.2568060869198607</v>
      </c>
      <c r="S264" s="155">
        <f t="shared" si="119"/>
        <v>22</v>
      </c>
      <c r="T264" s="155">
        <f t="shared" si="152"/>
        <v>4.7139354177817747</v>
      </c>
      <c r="U264" s="208">
        <f t="shared" si="127"/>
        <v>22</v>
      </c>
      <c r="V264" s="208">
        <f t="shared" si="132"/>
        <v>4.2568060869198607</v>
      </c>
      <c r="W264" s="155">
        <f t="shared" si="121"/>
        <v>22</v>
      </c>
      <c r="X264" s="155">
        <f t="shared" si="153"/>
        <v>4.4398485224987194</v>
      </c>
      <c r="Y264" s="208">
        <f t="shared" si="128"/>
        <v>22</v>
      </c>
      <c r="Z264" s="208">
        <f t="shared" si="133"/>
        <v>4.2568060869198607</v>
      </c>
    </row>
    <row r="265" spans="1:26">
      <c r="A265" s="150">
        <v>1.38</v>
      </c>
      <c r="B265" s="151">
        <f t="shared" si="123"/>
        <v>1.279617509492345</v>
      </c>
      <c r="C265" s="152">
        <f t="shared" si="110"/>
        <v>47.416974789915976</v>
      </c>
      <c r="D265" s="152">
        <f t="shared" si="111"/>
        <v>47.716974789915973</v>
      </c>
      <c r="E265" s="153">
        <f t="shared" si="112"/>
        <v>22</v>
      </c>
      <c r="F265" s="154">
        <f t="shared" si="148"/>
        <v>4.3227913623823939</v>
      </c>
      <c r="G265" s="155">
        <f t="shared" si="113"/>
        <v>22</v>
      </c>
      <c r="H265" s="155">
        <f t="shared" si="149"/>
        <v>7.5871123602652961</v>
      </c>
      <c r="I265" s="208">
        <f t="shared" si="124"/>
        <v>22</v>
      </c>
      <c r="J265" s="208">
        <f t="shared" ref="J265" si="163">0.5*$A$3*$B265*$B265*I265*0.001</f>
        <v>4.3227913623823939</v>
      </c>
      <c r="K265" s="155">
        <f t="shared" si="115"/>
        <v>22</v>
      </c>
      <c r="L265" s="155">
        <f t="shared" si="150"/>
        <v>5.2805456078429955</v>
      </c>
      <c r="M265" s="208">
        <f t="shared" si="125"/>
        <v>22</v>
      </c>
      <c r="N265" s="208">
        <f t="shared" si="130"/>
        <v>4.3227913623823939</v>
      </c>
      <c r="O265" s="155">
        <f t="shared" si="117"/>
        <v>22</v>
      </c>
      <c r="P265" s="155">
        <f t="shared" si="151"/>
        <v>5.0404431433378143</v>
      </c>
      <c r="Q265" s="208">
        <f t="shared" si="126"/>
        <v>22</v>
      </c>
      <c r="R265" s="208">
        <f t="shared" si="131"/>
        <v>4.3227913623823939</v>
      </c>
      <c r="S265" s="155">
        <f t="shared" si="119"/>
        <v>22</v>
      </c>
      <c r="T265" s="155">
        <f t="shared" si="152"/>
        <v>4.7464701872346255</v>
      </c>
      <c r="U265" s="208">
        <f t="shared" si="127"/>
        <v>22</v>
      </c>
      <c r="V265" s="208">
        <f t="shared" si="132"/>
        <v>4.3227913623823939</v>
      </c>
      <c r="W265" s="155">
        <f t="shared" si="121"/>
        <v>22</v>
      </c>
      <c r="X265" s="155">
        <f t="shared" si="153"/>
        <v>4.4702671337611868</v>
      </c>
      <c r="Y265" s="208">
        <f t="shared" si="128"/>
        <v>22</v>
      </c>
      <c r="Z265" s="208">
        <f t="shared" si="133"/>
        <v>4.3227913623823939</v>
      </c>
    </row>
    <row r="266" spans="1:26">
      <c r="A266" s="150">
        <v>1.39</v>
      </c>
      <c r="B266" s="151">
        <f t="shared" si="123"/>
        <v>1.2894214310609724</v>
      </c>
      <c r="C266" s="152">
        <f t="shared" si="110"/>
        <v>46.853445378151271</v>
      </c>
      <c r="D266" s="152">
        <f t="shared" si="111"/>
        <v>47.153445378151268</v>
      </c>
      <c r="E266" s="153">
        <f t="shared" si="112"/>
        <v>22</v>
      </c>
      <c r="F266" s="154">
        <f t="shared" si="148"/>
        <v>4.3892841349614207</v>
      </c>
      <c r="G266" s="155">
        <f t="shared" si="113"/>
        <v>22</v>
      </c>
      <c r="H266" s="155">
        <f t="shared" si="149"/>
        <v>7.6414110027992308</v>
      </c>
      <c r="I266" s="208">
        <f t="shared" si="124"/>
        <v>22</v>
      </c>
      <c r="J266" s="208">
        <f>0.5*Lm*$B266*$B266*I266*0.001</f>
        <v>4.3892841349614207</v>
      </c>
      <c r="K266" s="155">
        <f t="shared" si="115"/>
        <v>22</v>
      </c>
      <c r="L266" s="155">
        <f t="shared" si="150"/>
        <v>5.3171722512320274</v>
      </c>
      <c r="M266" s="208">
        <f t="shared" si="125"/>
        <v>22</v>
      </c>
      <c r="N266" s="208">
        <f t="shared" si="130"/>
        <v>4.3892841349614207</v>
      </c>
      <c r="O266" s="155">
        <f t="shared" si="117"/>
        <v>22</v>
      </c>
      <c r="P266" s="155">
        <f t="shared" si="151"/>
        <v>5.0752302169233845</v>
      </c>
      <c r="Q266" s="208">
        <f t="shared" si="126"/>
        <v>22</v>
      </c>
      <c r="R266" s="208">
        <f t="shared" si="131"/>
        <v>4.3892841349614207</v>
      </c>
      <c r="S266" s="155">
        <f t="shared" si="119"/>
        <v>22</v>
      </c>
      <c r="T266" s="155">
        <f t="shared" si="152"/>
        <v>4.7790049566874746</v>
      </c>
      <c r="U266" s="208">
        <f t="shared" si="127"/>
        <v>22</v>
      </c>
      <c r="V266" s="208">
        <f t="shared" si="132"/>
        <v>4.3892841349614207</v>
      </c>
      <c r="W266" s="155">
        <f t="shared" si="121"/>
        <v>22</v>
      </c>
      <c r="X266" s="155">
        <f t="shared" si="153"/>
        <v>4.5006857450236533</v>
      </c>
      <c r="Y266" s="208">
        <f t="shared" si="128"/>
        <v>22</v>
      </c>
      <c r="Z266" s="208">
        <f t="shared" si="133"/>
        <v>4.3892841349614207</v>
      </c>
    </row>
    <row r="267" spans="1:26">
      <c r="A267" s="150">
        <v>1.4</v>
      </c>
      <c r="B267" s="151">
        <f t="shared" si="123"/>
        <v>1.2992253526295998</v>
      </c>
      <c r="C267" s="152">
        <f t="shared" si="110"/>
        <v>46.289915966386566</v>
      </c>
      <c r="D267" s="152">
        <f t="shared" si="111"/>
        <v>46.589915966386563</v>
      </c>
      <c r="E267" s="153">
        <f t="shared" si="112"/>
        <v>22</v>
      </c>
      <c r="F267" s="154">
        <f t="shared" si="148"/>
        <v>4.4562844046569419</v>
      </c>
      <c r="G267" s="155">
        <f t="shared" si="113"/>
        <v>22</v>
      </c>
      <c r="H267" s="155">
        <f t="shared" si="149"/>
        <v>7.695709645333169</v>
      </c>
      <c r="I267" s="208">
        <f t="shared" si="124"/>
        <v>22</v>
      </c>
      <c r="J267" s="208">
        <f t="shared" ref="J267" si="164">0.5*$A$3*$B267*$B267*I267*0.001</f>
        <v>4.4562844046569419</v>
      </c>
      <c r="K267" s="155">
        <f t="shared" si="115"/>
        <v>22</v>
      </c>
      <c r="L267" s="155">
        <f t="shared" si="150"/>
        <v>5.3537988946210611</v>
      </c>
      <c r="M267" s="208">
        <f t="shared" si="125"/>
        <v>22</v>
      </c>
      <c r="N267" s="208">
        <f t="shared" si="130"/>
        <v>4.4562844046569419</v>
      </c>
      <c r="O267" s="155">
        <f t="shared" si="117"/>
        <v>22</v>
      </c>
      <c r="P267" s="155">
        <f t="shared" si="151"/>
        <v>5.1100172905089565</v>
      </c>
      <c r="Q267" s="208">
        <f t="shared" si="126"/>
        <v>22</v>
      </c>
      <c r="R267" s="208">
        <f t="shared" si="131"/>
        <v>4.4562844046569419</v>
      </c>
      <c r="S267" s="155">
        <f t="shared" si="119"/>
        <v>22</v>
      </c>
      <c r="T267" s="155">
        <f t="shared" si="152"/>
        <v>4.8115397261403245</v>
      </c>
      <c r="U267" s="208">
        <f t="shared" si="127"/>
        <v>22</v>
      </c>
      <c r="V267" s="208">
        <f t="shared" si="132"/>
        <v>4.4562844046569419</v>
      </c>
      <c r="W267" s="155">
        <f t="shared" si="121"/>
        <v>22</v>
      </c>
      <c r="X267" s="155">
        <f t="shared" si="153"/>
        <v>4.5311043562861206</v>
      </c>
      <c r="Y267" s="208">
        <f t="shared" si="128"/>
        <v>22</v>
      </c>
      <c r="Z267" s="208">
        <f t="shared" si="133"/>
        <v>4.4562844046569419</v>
      </c>
    </row>
    <row r="268" spans="1:26">
      <c r="A268" s="150">
        <v>1.41</v>
      </c>
      <c r="B268" s="151">
        <f t="shared" si="123"/>
        <v>1.3090292741982275</v>
      </c>
      <c r="C268" s="152">
        <f t="shared" si="110"/>
        <v>45.726386554621861</v>
      </c>
      <c r="D268" s="152">
        <f t="shared" si="111"/>
        <v>46.026386554621858</v>
      </c>
      <c r="E268" s="153">
        <f t="shared" si="112"/>
        <v>22</v>
      </c>
      <c r="F268" s="154">
        <f t="shared" si="148"/>
        <v>4.5237921714689566</v>
      </c>
      <c r="G268" s="155">
        <f t="shared" si="113"/>
        <v>22</v>
      </c>
      <c r="H268" s="155">
        <f t="shared" si="149"/>
        <v>7.7500082878671055</v>
      </c>
      <c r="I268" s="208">
        <f t="shared" si="124"/>
        <v>22</v>
      </c>
      <c r="J268" s="208">
        <f>0.5*Lm*$B268*$B268*I268*0.001</f>
        <v>4.5237921714689566</v>
      </c>
      <c r="K268" s="155">
        <f t="shared" si="115"/>
        <v>22</v>
      </c>
      <c r="L268" s="155">
        <f t="shared" si="150"/>
        <v>5.3904255380100947</v>
      </c>
      <c r="M268" s="208">
        <f t="shared" si="125"/>
        <v>22</v>
      </c>
      <c r="N268" s="208">
        <f t="shared" si="130"/>
        <v>4.5237921714689566</v>
      </c>
      <c r="O268" s="155">
        <f t="shared" si="117"/>
        <v>22</v>
      </c>
      <c r="P268" s="155">
        <f t="shared" si="151"/>
        <v>5.1448043640945293</v>
      </c>
      <c r="Q268" s="208">
        <f t="shared" si="126"/>
        <v>22</v>
      </c>
      <c r="R268" s="208">
        <f t="shared" si="131"/>
        <v>4.5237921714689566</v>
      </c>
      <c r="S268" s="155">
        <f t="shared" si="119"/>
        <v>22</v>
      </c>
      <c r="T268" s="155">
        <f t="shared" si="152"/>
        <v>4.8440744955931736</v>
      </c>
      <c r="U268" s="208">
        <f t="shared" si="127"/>
        <v>22</v>
      </c>
      <c r="V268" s="208">
        <f t="shared" si="132"/>
        <v>4.5237921714689566</v>
      </c>
      <c r="W268" s="155">
        <f t="shared" si="121"/>
        <v>22</v>
      </c>
      <c r="X268" s="155">
        <f t="shared" si="153"/>
        <v>4.561522967548588</v>
      </c>
      <c r="Y268" s="208">
        <f t="shared" si="128"/>
        <v>22</v>
      </c>
      <c r="Z268" s="208">
        <f t="shared" si="133"/>
        <v>4.5237921714689566</v>
      </c>
    </row>
    <row r="269" spans="1:26">
      <c r="A269" s="150">
        <v>1.42</v>
      </c>
      <c r="B269" s="151">
        <f t="shared" si="123"/>
        <v>1.3188331957668546</v>
      </c>
      <c r="C269" s="152">
        <f t="shared" si="110"/>
        <v>45.162857142857149</v>
      </c>
      <c r="D269" s="152">
        <f t="shared" si="111"/>
        <v>45.462857142857146</v>
      </c>
      <c r="E269" s="153">
        <f t="shared" si="112"/>
        <v>22</v>
      </c>
      <c r="F269" s="154">
        <f t="shared" si="148"/>
        <v>4.5918074353974632</v>
      </c>
      <c r="G269" s="155">
        <f t="shared" si="113"/>
        <v>22</v>
      </c>
      <c r="H269" s="155">
        <f t="shared" si="149"/>
        <v>7.804306930401042</v>
      </c>
      <c r="I269" s="208">
        <f t="shared" si="124"/>
        <v>22</v>
      </c>
      <c r="J269" s="208">
        <f t="shared" ref="J269" si="165">0.5*$A$3*$B269*$B269*I269*0.001</f>
        <v>4.5918074353974632</v>
      </c>
      <c r="K269" s="155">
        <f t="shared" si="115"/>
        <v>22</v>
      </c>
      <c r="L269" s="155">
        <f t="shared" si="150"/>
        <v>5.4270521813991284</v>
      </c>
      <c r="M269" s="208">
        <f t="shared" si="125"/>
        <v>22</v>
      </c>
      <c r="N269" s="208">
        <f t="shared" si="130"/>
        <v>4.5918074353974632</v>
      </c>
      <c r="O269" s="155">
        <f t="shared" si="117"/>
        <v>22</v>
      </c>
      <c r="P269" s="155">
        <f t="shared" si="151"/>
        <v>5.1795914376801004</v>
      </c>
      <c r="Q269" s="208">
        <f t="shared" si="126"/>
        <v>22</v>
      </c>
      <c r="R269" s="208">
        <f t="shared" si="131"/>
        <v>4.5918074353974632</v>
      </c>
      <c r="S269" s="155">
        <f t="shared" si="119"/>
        <v>22</v>
      </c>
      <c r="T269" s="155">
        <f t="shared" si="152"/>
        <v>4.8766092650460227</v>
      </c>
      <c r="U269" s="208">
        <f t="shared" si="127"/>
        <v>22</v>
      </c>
      <c r="V269" s="208">
        <f t="shared" si="132"/>
        <v>4.5918074353974632</v>
      </c>
      <c r="W269" s="155">
        <f t="shared" si="121"/>
        <v>22</v>
      </c>
      <c r="X269" s="155">
        <f t="shared" si="153"/>
        <v>4.5919415788110545</v>
      </c>
      <c r="Y269" s="208">
        <f t="shared" si="128"/>
        <v>22</v>
      </c>
      <c r="Z269" s="208">
        <f t="shared" si="133"/>
        <v>4.5918074353974632</v>
      </c>
    </row>
    <row r="270" spans="1:26">
      <c r="A270" s="150">
        <v>1.43</v>
      </c>
      <c r="B270" s="151">
        <f t="shared" si="123"/>
        <v>1.3286371173354823</v>
      </c>
      <c r="C270" s="152">
        <f t="shared" si="110"/>
        <v>44.599327731092444</v>
      </c>
      <c r="D270" s="152">
        <f t="shared" si="111"/>
        <v>44.899327731092441</v>
      </c>
      <c r="E270" s="153">
        <f t="shared" si="112"/>
        <v>22.026757883358133</v>
      </c>
      <c r="F270" s="154">
        <f t="shared" si="148"/>
        <v>4.6659984042518658</v>
      </c>
      <c r="G270" s="155">
        <f t="shared" si="113"/>
        <v>22.026757883358133</v>
      </c>
      <c r="H270" s="155">
        <f t="shared" si="149"/>
        <v>7.8586055729349784</v>
      </c>
      <c r="I270" s="208">
        <f t="shared" si="124"/>
        <v>22.026757883358133</v>
      </c>
      <c r="J270" s="208">
        <f>0.5*Lm*$B270*$B270*I270*0.001</f>
        <v>4.6659984042518658</v>
      </c>
      <c r="K270" s="155">
        <f t="shared" si="115"/>
        <v>22.026757883358133</v>
      </c>
      <c r="L270" s="155">
        <f t="shared" si="150"/>
        <v>5.4636788247881611</v>
      </c>
      <c r="M270" s="208">
        <f t="shared" si="125"/>
        <v>22.026757883358133</v>
      </c>
      <c r="N270" s="208">
        <f t="shared" si="130"/>
        <v>4.6659984042518658</v>
      </c>
      <c r="O270" s="155">
        <f t="shared" si="117"/>
        <v>22.026757883358133</v>
      </c>
      <c r="P270" s="155">
        <f t="shared" si="151"/>
        <v>5.2143785112656715</v>
      </c>
      <c r="Q270" s="208">
        <f t="shared" si="126"/>
        <v>22.026757883358133</v>
      </c>
      <c r="R270" s="208">
        <f t="shared" si="131"/>
        <v>4.6659984042518658</v>
      </c>
      <c r="S270" s="155">
        <f t="shared" si="119"/>
        <v>22.026757883358133</v>
      </c>
      <c r="T270" s="155">
        <f t="shared" si="152"/>
        <v>4.9091440344988726</v>
      </c>
      <c r="U270" s="208">
        <f t="shared" si="127"/>
        <v>22.026757883358133</v>
      </c>
      <c r="V270" s="208">
        <f t="shared" si="132"/>
        <v>4.6659984042518658</v>
      </c>
      <c r="W270" s="155">
        <f t="shared" si="121"/>
        <v>22.026757883358133</v>
      </c>
      <c r="X270" s="155">
        <f t="shared" si="153"/>
        <v>4.6223601900735218</v>
      </c>
      <c r="Y270" s="208">
        <f t="shared" si="128"/>
        <v>22.026757883358133</v>
      </c>
      <c r="Z270" s="208">
        <f t="shared" si="133"/>
        <v>4.6659984042518658</v>
      </c>
    </row>
    <row r="271" spans="1:26">
      <c r="A271" s="150">
        <v>1.44</v>
      </c>
      <c r="B271" s="151">
        <f t="shared" si="123"/>
        <v>1.3384410389041097</v>
      </c>
      <c r="C271" s="152">
        <f t="shared" si="110"/>
        <v>44.035798319327739</v>
      </c>
      <c r="D271" s="152">
        <f t="shared" si="111"/>
        <v>44.335798319327736</v>
      </c>
      <c r="E271" s="153">
        <f t="shared" si="112"/>
        <v>22.303606436933268</v>
      </c>
      <c r="F271" s="154">
        <f t="shared" si="148"/>
        <v>4.7946270126310253</v>
      </c>
      <c r="G271" s="155">
        <f t="shared" si="113"/>
        <v>22.303606436933268</v>
      </c>
      <c r="H271" s="155">
        <f t="shared" si="149"/>
        <v>7.9129042154689166</v>
      </c>
      <c r="I271" s="208">
        <f t="shared" si="124"/>
        <v>22.303606436933268</v>
      </c>
      <c r="J271" s="208">
        <f t="shared" ref="J271" si="166">0.5*$A$3*$B271*$B271*I271*0.001</f>
        <v>4.7946270126310253</v>
      </c>
      <c r="K271" s="155">
        <f t="shared" si="115"/>
        <v>22.303606436933268</v>
      </c>
      <c r="L271" s="155">
        <f t="shared" si="150"/>
        <v>5.5003054681771957</v>
      </c>
      <c r="M271" s="208">
        <f t="shared" si="125"/>
        <v>22.303606436933268</v>
      </c>
      <c r="N271" s="208">
        <f t="shared" si="130"/>
        <v>4.7946270126310253</v>
      </c>
      <c r="O271" s="155">
        <f t="shared" si="117"/>
        <v>22.303606436933268</v>
      </c>
      <c r="P271" s="155">
        <f t="shared" si="151"/>
        <v>5.2491655848512444</v>
      </c>
      <c r="Q271" s="208">
        <f t="shared" si="126"/>
        <v>22.303606436933268</v>
      </c>
      <c r="R271" s="208">
        <f t="shared" si="131"/>
        <v>4.7946270126310253</v>
      </c>
      <c r="S271" s="155">
        <f t="shared" si="119"/>
        <v>22.303606436933268</v>
      </c>
      <c r="T271" s="155">
        <f t="shared" si="152"/>
        <v>4.9416788039517225</v>
      </c>
      <c r="U271" s="208">
        <f t="shared" si="127"/>
        <v>22.303606436933268</v>
      </c>
      <c r="V271" s="208">
        <f t="shared" si="132"/>
        <v>4.7946270126310253</v>
      </c>
      <c r="W271" s="155">
        <f t="shared" si="121"/>
        <v>22.303606436933268</v>
      </c>
      <c r="X271" s="155">
        <f t="shared" si="153"/>
        <v>4.6527788013359892</v>
      </c>
      <c r="Y271" s="208">
        <f t="shared" si="128"/>
        <v>22.303606436933268</v>
      </c>
      <c r="Z271" s="208">
        <f t="shared" si="133"/>
        <v>4.7946270126310253</v>
      </c>
    </row>
    <row r="272" spans="1:26">
      <c r="A272" s="150">
        <v>1.45</v>
      </c>
      <c r="B272" s="151">
        <f t="shared" si="123"/>
        <v>1.3482449604727371</v>
      </c>
      <c r="C272" s="152">
        <f t="shared" si="110"/>
        <v>43.472268907563034</v>
      </c>
      <c r="D272" s="152">
        <f t="shared" si="111"/>
        <v>43.772268907563031</v>
      </c>
      <c r="E272" s="153">
        <f t="shared" si="112"/>
        <v>22.58750284716422</v>
      </c>
      <c r="F272" s="154">
        <f t="shared" si="148"/>
        <v>4.9270512263163555</v>
      </c>
      <c r="G272" s="155">
        <f t="shared" si="113"/>
        <v>22.58750284716422</v>
      </c>
      <c r="H272" s="155">
        <f t="shared" si="149"/>
        <v>7.9672028580028513</v>
      </c>
      <c r="I272" s="208">
        <f t="shared" si="124"/>
        <v>22.58750284716422</v>
      </c>
      <c r="J272" s="208">
        <f>0.5*Lm*$B272*$B272*I272*0.001</f>
        <v>4.9270512263163555</v>
      </c>
      <c r="K272" s="155">
        <f t="shared" si="115"/>
        <v>22.58750284716422</v>
      </c>
      <c r="L272" s="155">
        <f t="shared" si="150"/>
        <v>5.5369321115662284</v>
      </c>
      <c r="M272" s="208">
        <f t="shared" si="125"/>
        <v>22.58750284716422</v>
      </c>
      <c r="N272" s="208">
        <f t="shared" si="130"/>
        <v>4.9270512263163555</v>
      </c>
      <c r="O272" s="155">
        <f t="shared" si="117"/>
        <v>22.58750284716422</v>
      </c>
      <c r="P272" s="155">
        <f t="shared" si="151"/>
        <v>5.2839526584368155</v>
      </c>
      <c r="Q272" s="208">
        <f t="shared" si="126"/>
        <v>22.58750284716422</v>
      </c>
      <c r="R272" s="208">
        <f t="shared" si="131"/>
        <v>4.9270512263163555</v>
      </c>
      <c r="S272" s="155">
        <f t="shared" si="119"/>
        <v>22.58750284716422</v>
      </c>
      <c r="T272" s="155">
        <f t="shared" si="152"/>
        <v>4.9742135734045716</v>
      </c>
      <c r="U272" s="208">
        <f t="shared" si="127"/>
        <v>22.58750284716422</v>
      </c>
      <c r="V272" s="208">
        <f t="shared" si="132"/>
        <v>4.9270512263163555</v>
      </c>
      <c r="W272" s="155">
        <f t="shared" si="121"/>
        <v>22.58750284716422</v>
      </c>
      <c r="X272" s="155">
        <f t="shared" si="153"/>
        <v>4.6831974125984566</v>
      </c>
      <c r="Y272" s="208">
        <f t="shared" si="128"/>
        <v>22.58750284716422</v>
      </c>
      <c r="Z272" s="208">
        <f t="shared" si="133"/>
        <v>4.9270512263163555</v>
      </c>
    </row>
    <row r="273" spans="1:26">
      <c r="A273" s="150">
        <v>1.46</v>
      </c>
      <c r="B273" s="151">
        <f t="shared" si="123"/>
        <v>1.3580488820413645</v>
      </c>
      <c r="C273" s="152">
        <f t="shared" si="110"/>
        <v>42.908739495798329</v>
      </c>
      <c r="D273" s="152">
        <f t="shared" si="111"/>
        <v>43.208739495798326</v>
      </c>
      <c r="E273" s="153">
        <f t="shared" si="112"/>
        <v>22.878719714535098</v>
      </c>
      <c r="F273" s="154">
        <f t="shared" si="148"/>
        <v>5.0634178536063903</v>
      </c>
      <c r="G273" s="155">
        <f t="shared" si="113"/>
        <v>22.878719714535098</v>
      </c>
      <c r="H273" s="155">
        <f t="shared" si="149"/>
        <v>8.0215015005367878</v>
      </c>
      <c r="I273" s="208">
        <f t="shared" si="124"/>
        <v>22.878719714535098</v>
      </c>
      <c r="J273" s="208">
        <f t="shared" ref="J273" si="167">0.5*$A$3*$B273*$B273*I273*0.001</f>
        <v>5.0634178536063903</v>
      </c>
      <c r="K273" s="155">
        <f t="shared" si="115"/>
        <v>22.878719714535098</v>
      </c>
      <c r="L273" s="155">
        <f t="shared" si="150"/>
        <v>5.5735587549552612</v>
      </c>
      <c r="M273" s="208">
        <f t="shared" si="125"/>
        <v>22.878719714535098</v>
      </c>
      <c r="N273" s="208">
        <f t="shared" si="130"/>
        <v>5.0634178536063903</v>
      </c>
      <c r="O273" s="155">
        <f t="shared" si="117"/>
        <v>22.878719714535098</v>
      </c>
      <c r="P273" s="155">
        <f t="shared" si="151"/>
        <v>5.3187397320223866</v>
      </c>
      <c r="Q273" s="208">
        <f t="shared" si="126"/>
        <v>22.878719714535098</v>
      </c>
      <c r="R273" s="208">
        <f t="shared" si="131"/>
        <v>5.0634178536063903</v>
      </c>
      <c r="S273" s="155">
        <f t="shared" si="119"/>
        <v>22.878719714535098</v>
      </c>
      <c r="T273" s="155">
        <f t="shared" si="152"/>
        <v>5.0067483428574207</v>
      </c>
      <c r="U273" s="208">
        <f t="shared" si="127"/>
        <v>22.878719714535098</v>
      </c>
      <c r="V273" s="208">
        <f t="shared" si="132"/>
        <v>5.0634178536063903</v>
      </c>
      <c r="W273" s="155">
        <f t="shared" si="121"/>
        <v>22.878719714535098</v>
      </c>
      <c r="X273" s="155">
        <f t="shared" si="153"/>
        <v>4.713616023860923</v>
      </c>
      <c r="Y273" s="208">
        <f t="shared" si="128"/>
        <v>22.878719714535098</v>
      </c>
      <c r="Z273" s="208">
        <f t="shared" si="133"/>
        <v>5.0634178536063903</v>
      </c>
    </row>
    <row r="274" spans="1:26">
      <c r="A274" s="150">
        <v>1.47</v>
      </c>
      <c r="B274" s="151">
        <f t="shared" si="123"/>
        <v>1.3678528036099922</v>
      </c>
      <c r="C274" s="152">
        <f t="shared" si="110"/>
        <v>42.345210084033617</v>
      </c>
      <c r="D274" s="152">
        <f t="shared" si="111"/>
        <v>42.645210084033614</v>
      </c>
      <c r="E274" s="153">
        <f t="shared" si="112"/>
        <v>23.177543881517952</v>
      </c>
      <c r="F274" s="154">
        <f t="shared" si="148"/>
        <v>5.2038813727861086</v>
      </c>
      <c r="G274" s="155">
        <f t="shared" si="113"/>
        <v>23.177543881517952</v>
      </c>
      <c r="H274" s="155">
        <f t="shared" si="149"/>
        <v>8.075800143070726</v>
      </c>
      <c r="I274" s="208">
        <f t="shared" si="124"/>
        <v>23.177543881517952</v>
      </c>
      <c r="J274" s="208">
        <f>0.5*Lm*$B274*$B274*I274*0.001</f>
        <v>5.2038813727861086</v>
      </c>
      <c r="K274" s="155">
        <f t="shared" si="115"/>
        <v>23.177543881517952</v>
      </c>
      <c r="L274" s="155">
        <f t="shared" si="150"/>
        <v>5.6101853983442957</v>
      </c>
      <c r="M274" s="208">
        <f t="shared" si="125"/>
        <v>23.177543881517952</v>
      </c>
      <c r="N274" s="208">
        <f t="shared" si="130"/>
        <v>5.2038813727861086</v>
      </c>
      <c r="O274" s="155">
        <f t="shared" si="117"/>
        <v>23.177543881517952</v>
      </c>
      <c r="P274" s="155">
        <f t="shared" si="151"/>
        <v>5.3535268056079595</v>
      </c>
      <c r="Q274" s="208">
        <f t="shared" si="126"/>
        <v>23.177543881517952</v>
      </c>
      <c r="R274" s="208">
        <f t="shared" si="131"/>
        <v>5.2038813727861086</v>
      </c>
      <c r="S274" s="155">
        <f t="shared" si="119"/>
        <v>23.177543881517952</v>
      </c>
      <c r="T274" s="155">
        <f t="shared" si="152"/>
        <v>5.0392831123102706</v>
      </c>
      <c r="U274" s="208">
        <f t="shared" si="127"/>
        <v>23.177543881517952</v>
      </c>
      <c r="V274" s="208">
        <f t="shared" si="132"/>
        <v>5.2038813727861086</v>
      </c>
      <c r="W274" s="155">
        <f t="shared" si="121"/>
        <v>23.177543881517952</v>
      </c>
      <c r="X274" s="155">
        <f t="shared" si="153"/>
        <v>4.7440346351233913</v>
      </c>
      <c r="Y274" s="208">
        <f t="shared" si="128"/>
        <v>23.177543881517952</v>
      </c>
      <c r="Z274" s="208">
        <f t="shared" si="133"/>
        <v>5.2038813727861086</v>
      </c>
    </row>
    <row r="275" spans="1:26">
      <c r="A275" s="150">
        <v>1.48</v>
      </c>
      <c r="B275" s="151">
        <f t="shared" si="123"/>
        <v>1.3776567251786196</v>
      </c>
      <c r="C275" s="152">
        <f t="shared" si="110"/>
        <v>41.781680672268912</v>
      </c>
      <c r="D275" s="152">
        <f t="shared" si="111"/>
        <v>42.081680672268909</v>
      </c>
      <c r="E275" s="153">
        <f t="shared" si="112"/>
        <v>23.48427737497089</v>
      </c>
      <c r="F275" s="154">
        <f t="shared" si="148"/>
        <v>5.3486044396530383</v>
      </c>
      <c r="G275" s="155">
        <f t="shared" si="113"/>
        <v>23.48427737497089</v>
      </c>
      <c r="H275" s="155">
        <f t="shared" si="149"/>
        <v>8.1300987856046625</v>
      </c>
      <c r="I275" s="208">
        <f t="shared" si="124"/>
        <v>23.48427737497089</v>
      </c>
      <c r="J275" s="208">
        <f t="shared" ref="J275" si="168">0.5*$A$3*$B275*$B275*I275*0.001</f>
        <v>5.3486044396530383</v>
      </c>
      <c r="K275" s="155">
        <f t="shared" si="115"/>
        <v>23.48427737497089</v>
      </c>
      <c r="L275" s="155">
        <f t="shared" si="150"/>
        <v>5.6468120417333285</v>
      </c>
      <c r="M275" s="208">
        <f t="shared" si="125"/>
        <v>23.48427737497089</v>
      </c>
      <c r="N275" s="208">
        <f t="shared" si="130"/>
        <v>5.3486044396530383</v>
      </c>
      <c r="O275" s="155">
        <f t="shared" si="117"/>
        <v>23.48427737497089</v>
      </c>
      <c r="P275" s="155">
        <f t="shared" si="151"/>
        <v>5.3883138791935306</v>
      </c>
      <c r="Q275" s="208">
        <f t="shared" si="126"/>
        <v>23.48427737497089</v>
      </c>
      <c r="R275" s="208">
        <f t="shared" si="131"/>
        <v>5.3486044396530383</v>
      </c>
      <c r="S275" s="155">
        <f t="shared" si="119"/>
        <v>23.48427737497089</v>
      </c>
      <c r="T275" s="155">
        <f t="shared" si="152"/>
        <v>5.0718178817631205</v>
      </c>
      <c r="U275" s="208">
        <f t="shared" si="127"/>
        <v>23.48427737497089</v>
      </c>
      <c r="V275" s="208">
        <f t="shared" si="132"/>
        <v>5.3486044396530383</v>
      </c>
      <c r="W275" s="155">
        <f t="shared" si="121"/>
        <v>23.48427737497089</v>
      </c>
      <c r="X275" s="155">
        <f t="shared" si="153"/>
        <v>4.7744532463858578</v>
      </c>
      <c r="Y275" s="208">
        <f t="shared" si="128"/>
        <v>23.48427737497089</v>
      </c>
      <c r="Z275" s="208">
        <f t="shared" si="133"/>
        <v>5.3486044396530383</v>
      </c>
    </row>
    <row r="276" spans="1:26">
      <c r="A276" s="150">
        <v>1.49</v>
      </c>
      <c r="B276" s="151">
        <f t="shared" si="123"/>
        <v>1.387460646747247</v>
      </c>
      <c r="C276" s="152">
        <f t="shared" si="110"/>
        <v>41.218151260504207</v>
      </c>
      <c r="D276" s="152">
        <f t="shared" si="111"/>
        <v>41.518151260504204</v>
      </c>
      <c r="E276" s="153">
        <f t="shared" si="112"/>
        <v>23.799238424370419</v>
      </c>
      <c r="F276" s="154">
        <f t="shared" si="148"/>
        <v>5.4977584358837088</v>
      </c>
      <c r="G276" s="155">
        <f t="shared" si="113"/>
        <v>23.799238424370419</v>
      </c>
      <c r="H276" s="155">
        <f t="shared" si="149"/>
        <v>8.1843974281385989</v>
      </c>
      <c r="I276" s="208">
        <f t="shared" si="124"/>
        <v>23.799238424370419</v>
      </c>
      <c r="J276" s="208">
        <f>0.5*Lm*$B276*$B276*I276*0.001</f>
        <v>5.4977584358837088</v>
      </c>
      <c r="K276" s="155">
        <f t="shared" si="115"/>
        <v>23.799238424370419</v>
      </c>
      <c r="L276" s="155">
        <f t="shared" si="150"/>
        <v>5.6834386851223613</v>
      </c>
      <c r="M276" s="208">
        <f t="shared" si="125"/>
        <v>23.799238424370419</v>
      </c>
      <c r="N276" s="208">
        <f t="shared" si="130"/>
        <v>5.4977584358837088</v>
      </c>
      <c r="O276" s="155">
        <f t="shared" si="117"/>
        <v>23.799238424370419</v>
      </c>
      <c r="P276" s="155">
        <f t="shared" si="151"/>
        <v>5.4231009527791016</v>
      </c>
      <c r="Q276" s="208">
        <f t="shared" si="126"/>
        <v>23.799238424370419</v>
      </c>
      <c r="R276" s="208">
        <f t="shared" si="131"/>
        <v>5.4977584358837088</v>
      </c>
      <c r="S276" s="155">
        <f t="shared" si="119"/>
        <v>23.799238424370419</v>
      </c>
      <c r="T276" s="155">
        <f t="shared" si="152"/>
        <v>5.1043526512159705</v>
      </c>
      <c r="U276" s="208">
        <f t="shared" si="127"/>
        <v>23.799238424370419</v>
      </c>
      <c r="V276" s="208">
        <f t="shared" si="132"/>
        <v>5.4977584358837088</v>
      </c>
      <c r="W276" s="155">
        <f t="shared" si="121"/>
        <v>23.799238424370419</v>
      </c>
      <c r="X276" s="155">
        <f t="shared" si="153"/>
        <v>4.8048718576483251</v>
      </c>
      <c r="Y276" s="208">
        <f t="shared" si="128"/>
        <v>23.799238424370419</v>
      </c>
      <c r="Z276" s="208">
        <f t="shared" si="133"/>
        <v>5.4977584358837088</v>
      </c>
    </row>
    <row r="277" spans="1:26">
      <c r="A277" s="150">
        <v>1.5</v>
      </c>
      <c r="B277" s="151">
        <f t="shared" si="123"/>
        <v>1.3972645683158744</v>
      </c>
      <c r="C277" s="152">
        <f t="shared" si="110"/>
        <v>40.654621848739502</v>
      </c>
      <c r="D277" s="152">
        <f t="shared" si="111"/>
        <v>40.9546218487395</v>
      </c>
      <c r="E277" s="153">
        <f t="shared" si="112"/>
        <v>24.122762563094199</v>
      </c>
      <c r="F277" s="154">
        <f t="shared" si="148"/>
        <v>5.6515240621266782</v>
      </c>
      <c r="G277" s="155">
        <f t="shared" si="113"/>
        <v>24.122762563094199</v>
      </c>
      <c r="H277" s="155">
        <f t="shared" si="149"/>
        <v>8.2386960706725354</v>
      </c>
      <c r="I277" s="208">
        <f t="shared" si="124"/>
        <v>24.122762563094199</v>
      </c>
      <c r="J277" s="208">
        <f t="shared" ref="J277" si="169">0.5*$A$3*$B277*$B277*I277*0.001</f>
        <v>5.6515240621266782</v>
      </c>
      <c r="K277" s="155">
        <f t="shared" si="115"/>
        <v>24.122762563094199</v>
      </c>
      <c r="L277" s="155">
        <f t="shared" si="150"/>
        <v>5.7200653285113949</v>
      </c>
      <c r="M277" s="208">
        <f t="shared" si="125"/>
        <v>24.122762563094199</v>
      </c>
      <c r="N277" s="208">
        <f t="shared" si="130"/>
        <v>5.6515240621266782</v>
      </c>
      <c r="O277" s="155">
        <f t="shared" si="117"/>
        <v>24.122762563094199</v>
      </c>
      <c r="P277" s="155">
        <f t="shared" si="151"/>
        <v>5.4578880263646736</v>
      </c>
      <c r="Q277" s="208">
        <f t="shared" si="126"/>
        <v>24.122762563094199</v>
      </c>
      <c r="R277" s="208">
        <f t="shared" si="131"/>
        <v>5.6515240621266782</v>
      </c>
      <c r="S277" s="155">
        <f t="shared" si="119"/>
        <v>24.122762563094199</v>
      </c>
      <c r="T277" s="155">
        <f t="shared" si="152"/>
        <v>5.1368874206688195</v>
      </c>
      <c r="U277" s="208">
        <f t="shared" si="127"/>
        <v>24.122762563094199</v>
      </c>
      <c r="V277" s="208">
        <f t="shared" si="132"/>
        <v>5.6515240621266782</v>
      </c>
      <c r="W277" s="155">
        <f t="shared" si="121"/>
        <v>24.122762563094199</v>
      </c>
      <c r="X277" s="155">
        <f t="shared" si="153"/>
        <v>4.8352904689107916</v>
      </c>
      <c r="Y277" s="208">
        <f t="shared" si="128"/>
        <v>24.122762563094199</v>
      </c>
      <c r="Z277" s="208">
        <f t="shared" si="133"/>
        <v>5.6515240621266782</v>
      </c>
    </row>
    <row r="278" spans="1:26">
      <c r="A278" s="150">
        <v>1.51</v>
      </c>
      <c r="B278" s="151">
        <f t="shared" si="123"/>
        <v>1.4070684898845018</v>
      </c>
      <c r="C278" s="152">
        <f t="shared" si="110"/>
        <v>40.091092436974797</v>
      </c>
      <c r="D278" s="152">
        <f t="shared" si="111"/>
        <v>40.391092436974795</v>
      </c>
      <c r="E278" s="153">
        <f t="shared" si="112"/>
        <v>24.455203820765959</v>
      </c>
      <c r="F278" s="154">
        <f t="shared" ref="F278:F309" si="170">(0.5*Lm*$B278*$B278*$E278*0.001)</f>
        <v>5.8100919801368613</v>
      </c>
      <c r="G278" s="155">
        <f t="shared" si="113"/>
        <v>24.455203820765959</v>
      </c>
      <c r="H278" s="155">
        <f t="shared" ref="H278:H309" si="171">($B278*Lm/G$211)+($B278*Lm/VOR)+0.5</f>
        <v>8.2929947132064719</v>
      </c>
      <c r="I278" s="208">
        <f t="shared" si="124"/>
        <v>24.455203820765959</v>
      </c>
      <c r="J278" s="208">
        <f>0.5*Lm*$B278*$B278*I278*0.001</f>
        <v>5.8100919801368613</v>
      </c>
      <c r="K278" s="155">
        <f t="shared" si="115"/>
        <v>24.455203820765959</v>
      </c>
      <c r="L278" s="155">
        <f t="shared" ref="L278:L309" si="172">($B278*Lm/L$211)+($B278*Lm/VOR)+0.5</f>
        <v>5.7566919719004286</v>
      </c>
      <c r="M278" s="208">
        <f t="shared" si="125"/>
        <v>24.455203820765959</v>
      </c>
      <c r="N278" s="208">
        <f t="shared" si="130"/>
        <v>5.8100919801368613</v>
      </c>
      <c r="O278" s="155">
        <f t="shared" si="117"/>
        <v>24.455203820765959</v>
      </c>
      <c r="P278" s="155">
        <f t="shared" ref="P278:P309" si="173">($B278*Lm/P$211)+($B278*Lm/VOR)+0.5</f>
        <v>5.4926750999502456</v>
      </c>
      <c r="Q278" s="208">
        <f t="shared" si="126"/>
        <v>24.455203820765959</v>
      </c>
      <c r="R278" s="208">
        <f t="shared" si="131"/>
        <v>5.8100919801368613</v>
      </c>
      <c r="S278" s="155">
        <f t="shared" si="119"/>
        <v>24.455203820765959</v>
      </c>
      <c r="T278" s="155">
        <f t="shared" ref="T278:T309" si="174">($B278*Lm/T$211)+($B278*Lm/VOR)+0.5</f>
        <v>5.1694221901216686</v>
      </c>
      <c r="U278" s="208">
        <f t="shared" si="127"/>
        <v>24.455203820765959</v>
      </c>
      <c r="V278" s="208">
        <f t="shared" si="132"/>
        <v>5.8100919801368613</v>
      </c>
      <c r="W278" s="155">
        <f t="shared" si="121"/>
        <v>24.455203820765959</v>
      </c>
      <c r="X278" s="155">
        <f t="shared" ref="X278:X309" si="175">($B278*Lm/X$211)+($B278*Lm/VOR)+0.5</f>
        <v>4.865709080173259</v>
      </c>
      <c r="Y278" s="208">
        <f t="shared" si="128"/>
        <v>24.455203820765959</v>
      </c>
      <c r="Z278" s="208">
        <f t="shared" si="133"/>
        <v>5.8100919801368613</v>
      </c>
    </row>
    <row r="279" spans="1:26">
      <c r="A279" s="150">
        <v>1.52</v>
      </c>
      <c r="B279" s="151">
        <f t="shared" si="123"/>
        <v>1.4168724114531293</v>
      </c>
      <c r="C279" s="152">
        <f t="shared" ref="C279:C342" si="176">IF($A279&lt;$A$13,$H$13,IF($A279&gt;$B$13,$F$13,$F$13*($G$13-(($A279-$A$13)*($G$13-1)/($B$13-$A$13)))))</f>
        <v>39.527563025210085</v>
      </c>
      <c r="D279" s="152">
        <f t="shared" ref="D279:D342" si="177">$C279+$E$13</f>
        <v>39.827563025210083</v>
      </c>
      <c r="E279" s="153">
        <f t="shared" ref="E279:E342" si="178">IF((1000/D279)&lt;$J$13,$J$13,1000/(D279+0.5))</f>
        <v>24.796936015569976</v>
      </c>
      <c r="F279" s="154">
        <f t="shared" si="170"/>
        <v>5.9736635087482002</v>
      </c>
      <c r="G279" s="155">
        <f t="shared" ref="G279:G342" si="179">IF((1000/$D279)&lt;$J$13,$J$13,1000/($D279+0.5))</f>
        <v>24.796936015569976</v>
      </c>
      <c r="H279" s="155">
        <f t="shared" si="171"/>
        <v>8.3472933557404083</v>
      </c>
      <c r="I279" s="208">
        <f t="shared" si="124"/>
        <v>24.796936015569976</v>
      </c>
      <c r="J279" s="208">
        <f t="shared" ref="J279" si="180">0.5*$A$3*$B279*$B279*I279*0.001</f>
        <v>5.9736635087482002</v>
      </c>
      <c r="K279" s="155">
        <f t="shared" ref="K279:K342" si="181">IF((1000/$D279)&lt;$J$13,$J$13,1000/($D279+0.5))</f>
        <v>24.796936015569976</v>
      </c>
      <c r="L279" s="155">
        <f t="shared" si="172"/>
        <v>5.7933186152894613</v>
      </c>
      <c r="M279" s="208">
        <f t="shared" si="125"/>
        <v>24.796936015569976</v>
      </c>
      <c r="N279" s="208">
        <f t="shared" si="130"/>
        <v>5.9736635087482002</v>
      </c>
      <c r="O279" s="155">
        <f t="shared" ref="O279:O342" si="182">IF((1000/$D279)&lt;$J$13,$J$13,1000/($D279+0.5))</f>
        <v>24.796936015569976</v>
      </c>
      <c r="P279" s="155">
        <f t="shared" si="173"/>
        <v>5.5274621735358167</v>
      </c>
      <c r="Q279" s="208">
        <f t="shared" si="126"/>
        <v>24.796936015569976</v>
      </c>
      <c r="R279" s="208">
        <f t="shared" si="131"/>
        <v>5.9736635087482002</v>
      </c>
      <c r="S279" s="155">
        <f t="shared" ref="S279:S342" si="183">IF((1000/$D279)&lt;$J$13,$J$13,1000/($D279+0.5))</f>
        <v>24.796936015569976</v>
      </c>
      <c r="T279" s="155">
        <f t="shared" si="174"/>
        <v>5.2019569595745185</v>
      </c>
      <c r="U279" s="208">
        <f t="shared" si="127"/>
        <v>24.796936015569976</v>
      </c>
      <c r="V279" s="208">
        <f t="shared" si="132"/>
        <v>5.9736635087482002</v>
      </c>
      <c r="W279" s="155">
        <f t="shared" ref="W279:W342" si="184">IF((1000/$D279)&lt;$J$13,$J$13,1000/($D279+0.5))</f>
        <v>24.796936015569976</v>
      </c>
      <c r="X279" s="155">
        <f t="shared" si="175"/>
        <v>4.8961276914357263</v>
      </c>
      <c r="Y279" s="208">
        <f t="shared" si="128"/>
        <v>24.796936015569976</v>
      </c>
      <c r="Z279" s="208">
        <f t="shared" si="133"/>
        <v>5.9736635087482002</v>
      </c>
    </row>
    <row r="280" spans="1:26">
      <c r="A280" s="150">
        <v>1.53</v>
      </c>
      <c r="B280" s="151">
        <f t="shared" ref="B280:B343" si="185">(MIN($A280*$B$16,$E$16)-$E$23)/$E$3</f>
        <v>1.4266763330217569</v>
      </c>
      <c r="C280" s="152">
        <f t="shared" si="176"/>
        <v>38.96403361344538</v>
      </c>
      <c r="D280" s="152">
        <f t="shared" si="177"/>
        <v>39.264033613445378</v>
      </c>
      <c r="E280" s="153">
        <f t="shared" si="178"/>
        <v>25.148354156452349</v>
      </c>
      <c r="F280" s="154">
        <f t="shared" si="170"/>
        <v>6.1424513790256245</v>
      </c>
      <c r="G280" s="155">
        <f t="shared" si="179"/>
        <v>25.148354156452349</v>
      </c>
      <c r="H280" s="155">
        <f t="shared" si="171"/>
        <v>8.4015919982743448</v>
      </c>
      <c r="I280" s="208">
        <f t="shared" ref="I280:I343" si="186">MIN(G280,1000/H280)</f>
        <v>25.148354156452349</v>
      </c>
      <c r="J280" s="208">
        <f>0.5*Lm*$B280*$B280*I280*0.001</f>
        <v>6.1424513790256245</v>
      </c>
      <c r="K280" s="155">
        <f t="shared" si="181"/>
        <v>25.148354156452349</v>
      </c>
      <c r="L280" s="155">
        <f t="shared" si="172"/>
        <v>5.8299452586784959</v>
      </c>
      <c r="M280" s="208">
        <f t="shared" ref="M280:M343" si="187">MIN(K280,1000/L280)</f>
        <v>25.148354156452349</v>
      </c>
      <c r="N280" s="208">
        <f t="shared" si="130"/>
        <v>6.1424513790256245</v>
      </c>
      <c r="O280" s="155">
        <f t="shared" si="182"/>
        <v>25.148354156452349</v>
      </c>
      <c r="P280" s="155">
        <f t="shared" si="173"/>
        <v>5.5622492471213896</v>
      </c>
      <c r="Q280" s="208">
        <f t="shared" ref="Q280:Q343" si="188">MIN(O280,1000/P280)</f>
        <v>25.148354156452349</v>
      </c>
      <c r="R280" s="208">
        <f t="shared" si="131"/>
        <v>6.1424513790256245</v>
      </c>
      <c r="S280" s="155">
        <f t="shared" si="183"/>
        <v>25.148354156452349</v>
      </c>
      <c r="T280" s="155">
        <f t="shared" si="174"/>
        <v>5.2344917290273685</v>
      </c>
      <c r="U280" s="208">
        <f t="shared" ref="U280:U343" si="189">MIN(S280,1000/T280)</f>
        <v>25.148354156452349</v>
      </c>
      <c r="V280" s="208">
        <f t="shared" si="132"/>
        <v>6.1424513790256245</v>
      </c>
      <c r="W280" s="155">
        <f t="shared" si="184"/>
        <v>25.148354156452349</v>
      </c>
      <c r="X280" s="155">
        <f t="shared" si="175"/>
        <v>4.9265463026981937</v>
      </c>
      <c r="Y280" s="208">
        <f t="shared" ref="Y280:Y343" si="190">MIN(W280,1000/X280)</f>
        <v>25.148354156452349</v>
      </c>
      <c r="Z280" s="208">
        <f t="shared" si="133"/>
        <v>6.1424513790256245</v>
      </c>
    </row>
    <row r="281" spans="1:26">
      <c r="A281" s="150">
        <v>1.54</v>
      </c>
      <c r="B281" s="151">
        <f t="shared" si="185"/>
        <v>1.4364802545903843</v>
      </c>
      <c r="C281" s="152">
        <f t="shared" si="176"/>
        <v>38.400504201680675</v>
      </c>
      <c r="D281" s="152">
        <f t="shared" si="177"/>
        <v>38.700504201680673</v>
      </c>
      <c r="E281" s="153">
        <f t="shared" si="178"/>
        <v>25.509875966266939</v>
      </c>
      <c r="F281" s="154">
        <f t="shared" si="170"/>
        <v>6.3166805545513975</v>
      </c>
      <c r="G281" s="155">
        <f t="shared" si="179"/>
        <v>25.509875966266939</v>
      </c>
      <c r="H281" s="155">
        <f t="shared" si="171"/>
        <v>8.4558906408082812</v>
      </c>
      <c r="I281" s="208">
        <f t="shared" si="186"/>
        <v>25.509875966266939</v>
      </c>
      <c r="J281" s="208">
        <f t="shared" ref="J281" si="191">0.5*$A$3*$B281*$B281*I281*0.001</f>
        <v>6.3166805545513975</v>
      </c>
      <c r="K281" s="155">
        <f t="shared" si="181"/>
        <v>25.509875966266939</v>
      </c>
      <c r="L281" s="155">
        <f t="shared" si="172"/>
        <v>5.8665719020675287</v>
      </c>
      <c r="M281" s="208">
        <f t="shared" si="187"/>
        <v>25.509875966266939</v>
      </c>
      <c r="N281" s="208">
        <f t="shared" ref="N281:N344" si="192">0.5*$A$3*$B281*$B281*M281*0.001</f>
        <v>6.3166805545513975</v>
      </c>
      <c r="O281" s="155">
        <f t="shared" si="182"/>
        <v>25.509875966266939</v>
      </c>
      <c r="P281" s="155">
        <f t="shared" si="173"/>
        <v>5.5970363207069607</v>
      </c>
      <c r="Q281" s="208">
        <f t="shared" si="188"/>
        <v>25.509875966266939</v>
      </c>
      <c r="R281" s="208">
        <f t="shared" ref="R281:R344" si="193">0.5*$A$3*$B281*$B281*Q281*0.001</f>
        <v>6.3166805545513975</v>
      </c>
      <c r="S281" s="155">
        <f t="shared" si="183"/>
        <v>25.509875966266939</v>
      </c>
      <c r="T281" s="155">
        <f t="shared" si="174"/>
        <v>5.2670264984802184</v>
      </c>
      <c r="U281" s="208">
        <f t="shared" si="189"/>
        <v>25.509875966266939</v>
      </c>
      <c r="V281" s="208">
        <f t="shared" ref="V281:V344" si="194">0.5*$A$3*$B281*$B281*U281*0.001</f>
        <v>6.3166805545513975</v>
      </c>
      <c r="W281" s="155">
        <f t="shared" si="184"/>
        <v>25.509875966266939</v>
      </c>
      <c r="X281" s="155">
        <f t="shared" si="175"/>
        <v>4.9569649139606611</v>
      </c>
      <c r="Y281" s="208">
        <f t="shared" si="190"/>
        <v>25.509875966266939</v>
      </c>
      <c r="Z281" s="208">
        <f t="shared" ref="Z281:Z344" si="195">0.5*$A$3*$B281*$B281*Y281*0.001</f>
        <v>6.3166805545513975</v>
      </c>
    </row>
    <row r="282" spans="1:26">
      <c r="A282" s="150">
        <v>1.55</v>
      </c>
      <c r="B282" s="151">
        <f t="shared" si="185"/>
        <v>1.4462841761590115</v>
      </c>
      <c r="C282" s="152">
        <f t="shared" si="176"/>
        <v>37.836974789915971</v>
      </c>
      <c r="D282" s="152">
        <f t="shared" si="177"/>
        <v>38.136974789915968</v>
      </c>
      <c r="E282" s="153">
        <f t="shared" si="178"/>
        <v>25.881943538213928</v>
      </c>
      <c r="F282" s="154">
        <f t="shared" si="170"/>
        <v>6.4965891234959194</v>
      </c>
      <c r="G282" s="155">
        <f t="shared" si="179"/>
        <v>25.881943538213928</v>
      </c>
      <c r="H282" s="155">
        <f t="shared" si="171"/>
        <v>8.5101892833422177</v>
      </c>
      <c r="I282" s="208">
        <f t="shared" si="186"/>
        <v>25.881943538213928</v>
      </c>
      <c r="J282" s="208">
        <f>0.5*Lm*$B282*$B282*I282*0.001</f>
        <v>6.4965891234959194</v>
      </c>
      <c r="K282" s="155">
        <f t="shared" si="181"/>
        <v>25.881943538213928</v>
      </c>
      <c r="L282" s="155">
        <f t="shared" si="172"/>
        <v>5.9031985454565614</v>
      </c>
      <c r="M282" s="208">
        <f t="shared" si="187"/>
        <v>25.881943538213928</v>
      </c>
      <c r="N282" s="208">
        <f t="shared" si="192"/>
        <v>6.4965891234959194</v>
      </c>
      <c r="O282" s="155">
        <f t="shared" si="182"/>
        <v>25.881943538213928</v>
      </c>
      <c r="P282" s="155">
        <f t="shared" si="173"/>
        <v>5.6318233942925318</v>
      </c>
      <c r="Q282" s="208">
        <f t="shared" si="188"/>
        <v>25.881943538213928</v>
      </c>
      <c r="R282" s="208">
        <f t="shared" si="193"/>
        <v>6.4965891234959194</v>
      </c>
      <c r="S282" s="155">
        <f t="shared" si="183"/>
        <v>25.881943538213928</v>
      </c>
      <c r="T282" s="155">
        <f t="shared" si="174"/>
        <v>5.2995612679330666</v>
      </c>
      <c r="U282" s="208">
        <f t="shared" si="189"/>
        <v>25.881943538213928</v>
      </c>
      <c r="V282" s="208">
        <f t="shared" si="194"/>
        <v>6.4965891234959194</v>
      </c>
      <c r="W282" s="155">
        <f t="shared" si="184"/>
        <v>25.881943538213928</v>
      </c>
      <c r="X282" s="155">
        <f t="shared" si="175"/>
        <v>4.9873835252231267</v>
      </c>
      <c r="Y282" s="208">
        <f t="shared" si="190"/>
        <v>25.881943538213928</v>
      </c>
      <c r="Z282" s="208">
        <f t="shared" si="195"/>
        <v>6.4965891234959194</v>
      </c>
    </row>
    <row r="283" spans="1:26">
      <c r="A283" s="150">
        <v>1.56</v>
      </c>
      <c r="B283" s="151">
        <f t="shared" si="185"/>
        <v>1.4560880977276394</v>
      </c>
      <c r="C283" s="152">
        <f t="shared" si="176"/>
        <v>37.273445378151266</v>
      </c>
      <c r="D283" s="152">
        <f t="shared" si="177"/>
        <v>37.573445378151263</v>
      </c>
      <c r="E283" s="153">
        <f t="shared" si="178"/>
        <v>26.265025139381205</v>
      </c>
      <c r="F283" s="154">
        <f t="shared" si="170"/>
        <v>6.6824292699103633</v>
      </c>
      <c r="G283" s="155">
        <f t="shared" si="179"/>
        <v>26.265025139381205</v>
      </c>
      <c r="H283" s="155">
        <f t="shared" si="171"/>
        <v>8.5644879258761559</v>
      </c>
      <c r="I283" s="208">
        <f t="shared" si="186"/>
        <v>26.265025139381205</v>
      </c>
      <c r="J283" s="208">
        <f t="shared" ref="J283" si="196">0.5*$A$3*$B283*$B283*I283*0.001</f>
        <v>6.6824292699103633</v>
      </c>
      <c r="K283" s="155">
        <f t="shared" si="181"/>
        <v>26.265025139381205</v>
      </c>
      <c r="L283" s="155">
        <f t="shared" si="172"/>
        <v>5.939825188845596</v>
      </c>
      <c r="M283" s="208">
        <f t="shared" si="187"/>
        <v>26.265025139381205</v>
      </c>
      <c r="N283" s="208">
        <f t="shared" si="192"/>
        <v>6.6824292699103633</v>
      </c>
      <c r="O283" s="155">
        <f t="shared" si="182"/>
        <v>26.265025139381205</v>
      </c>
      <c r="P283" s="155">
        <f t="shared" si="173"/>
        <v>5.6666104678781046</v>
      </c>
      <c r="Q283" s="208">
        <f t="shared" si="188"/>
        <v>26.265025139381205</v>
      </c>
      <c r="R283" s="208">
        <f t="shared" si="193"/>
        <v>6.6824292699103633</v>
      </c>
      <c r="S283" s="155">
        <f t="shared" si="183"/>
        <v>26.265025139381205</v>
      </c>
      <c r="T283" s="155">
        <f t="shared" si="174"/>
        <v>5.3320960373859183</v>
      </c>
      <c r="U283" s="208">
        <f t="shared" si="189"/>
        <v>26.265025139381205</v>
      </c>
      <c r="V283" s="208">
        <f t="shared" si="194"/>
        <v>6.6824292699103633</v>
      </c>
      <c r="W283" s="155">
        <f t="shared" si="184"/>
        <v>26.265025139381205</v>
      </c>
      <c r="X283" s="155">
        <f t="shared" si="175"/>
        <v>5.0178021364855958</v>
      </c>
      <c r="Y283" s="208">
        <f t="shared" si="190"/>
        <v>26.265025139381205</v>
      </c>
      <c r="Z283" s="208">
        <f t="shared" si="195"/>
        <v>6.6824292699103633</v>
      </c>
    </row>
    <row r="284" spans="1:26">
      <c r="A284" s="150">
        <v>1.57</v>
      </c>
      <c r="B284" s="151">
        <f t="shared" si="185"/>
        <v>1.4658920192962666</v>
      </c>
      <c r="C284" s="152">
        <f t="shared" si="176"/>
        <v>36.709915966386561</v>
      </c>
      <c r="D284" s="152">
        <f t="shared" si="177"/>
        <v>37.009915966386558</v>
      </c>
      <c r="E284" s="153">
        <f t="shared" si="178"/>
        <v>26.659617176858553</v>
      </c>
      <c r="F284" s="154">
        <f t="shared" si="170"/>
        <v>6.8744683325724552</v>
      </c>
      <c r="G284" s="155">
        <f t="shared" si="179"/>
        <v>26.659617176858553</v>
      </c>
      <c r="H284" s="155">
        <f t="shared" si="171"/>
        <v>8.6187865684100906</v>
      </c>
      <c r="I284" s="208">
        <f t="shared" si="186"/>
        <v>26.659617176858553</v>
      </c>
      <c r="J284" s="208">
        <f>0.5*Lm*$B284*$B284*I284*0.001</f>
        <v>6.8744683325724552</v>
      </c>
      <c r="K284" s="155">
        <f t="shared" si="181"/>
        <v>26.659617176858553</v>
      </c>
      <c r="L284" s="155">
        <f t="shared" si="172"/>
        <v>5.9764518322346287</v>
      </c>
      <c r="M284" s="208">
        <f t="shared" si="187"/>
        <v>26.659617176858553</v>
      </c>
      <c r="N284" s="208">
        <f t="shared" si="192"/>
        <v>6.8744683325724552</v>
      </c>
      <c r="O284" s="155">
        <f t="shared" si="182"/>
        <v>26.659617176858553</v>
      </c>
      <c r="P284" s="155">
        <f t="shared" si="173"/>
        <v>5.7013975414636757</v>
      </c>
      <c r="Q284" s="208">
        <f t="shared" si="188"/>
        <v>26.659617176858553</v>
      </c>
      <c r="R284" s="208">
        <f t="shared" si="193"/>
        <v>6.8744683325724552</v>
      </c>
      <c r="S284" s="155">
        <f t="shared" si="183"/>
        <v>26.659617176858553</v>
      </c>
      <c r="T284" s="155">
        <f t="shared" si="174"/>
        <v>5.3646308068387665</v>
      </c>
      <c r="U284" s="208">
        <f t="shared" si="189"/>
        <v>26.659617176858553</v>
      </c>
      <c r="V284" s="208">
        <f t="shared" si="194"/>
        <v>6.8744683325724552</v>
      </c>
      <c r="W284" s="155">
        <f t="shared" si="184"/>
        <v>26.659617176858553</v>
      </c>
      <c r="X284" s="155">
        <f t="shared" si="175"/>
        <v>5.0482207477480614</v>
      </c>
      <c r="Y284" s="208">
        <f t="shared" si="190"/>
        <v>26.659617176858553</v>
      </c>
      <c r="Z284" s="208">
        <f t="shared" si="195"/>
        <v>6.8744683325724552</v>
      </c>
    </row>
    <row r="285" spans="1:26">
      <c r="A285" s="150">
        <v>1.58</v>
      </c>
      <c r="B285" s="151">
        <f t="shared" si="185"/>
        <v>1.4756959408648938</v>
      </c>
      <c r="C285" s="152">
        <f t="shared" si="176"/>
        <v>36.146386554621849</v>
      </c>
      <c r="D285" s="152">
        <f t="shared" si="177"/>
        <v>36.446386554621846</v>
      </c>
      <c r="E285" s="153">
        <f t="shared" si="178"/>
        <v>27.066246343782272</v>
      </c>
      <c r="F285" s="154">
        <f t="shared" si="170"/>
        <v>7.0729899607333753</v>
      </c>
      <c r="G285" s="155">
        <f t="shared" si="179"/>
        <v>27.066246343782272</v>
      </c>
      <c r="H285" s="155">
        <f t="shared" si="171"/>
        <v>8.6730852109440271</v>
      </c>
      <c r="I285" s="208">
        <f t="shared" si="186"/>
        <v>27.066246343782272</v>
      </c>
      <c r="J285" s="208">
        <f t="shared" ref="J285" si="197">0.5*$A$3*$B285*$B285*I285*0.001</f>
        <v>7.0729899607333753</v>
      </c>
      <c r="K285" s="155">
        <f t="shared" si="181"/>
        <v>27.066246343782272</v>
      </c>
      <c r="L285" s="155">
        <f t="shared" si="172"/>
        <v>6.0130784756236615</v>
      </c>
      <c r="M285" s="208">
        <f t="shared" si="187"/>
        <v>27.066246343782272</v>
      </c>
      <c r="N285" s="208">
        <f t="shared" si="192"/>
        <v>7.0729899607333753</v>
      </c>
      <c r="O285" s="155">
        <f t="shared" si="182"/>
        <v>27.066246343782272</v>
      </c>
      <c r="P285" s="155">
        <f t="shared" si="173"/>
        <v>5.7361846150492468</v>
      </c>
      <c r="Q285" s="208">
        <f t="shared" si="188"/>
        <v>27.066246343782272</v>
      </c>
      <c r="R285" s="208">
        <f t="shared" si="193"/>
        <v>7.0729899607333753</v>
      </c>
      <c r="S285" s="155">
        <f t="shared" si="183"/>
        <v>27.066246343782272</v>
      </c>
      <c r="T285" s="155">
        <f t="shared" si="174"/>
        <v>5.3971655762916146</v>
      </c>
      <c r="U285" s="208">
        <f t="shared" si="189"/>
        <v>27.066246343782272</v>
      </c>
      <c r="V285" s="208">
        <f t="shared" si="194"/>
        <v>7.0729899607333753</v>
      </c>
      <c r="W285" s="155">
        <f t="shared" si="184"/>
        <v>27.066246343782272</v>
      </c>
      <c r="X285" s="155">
        <f t="shared" si="175"/>
        <v>5.0786393590105279</v>
      </c>
      <c r="Y285" s="208">
        <f t="shared" si="190"/>
        <v>27.066246343782272</v>
      </c>
      <c r="Z285" s="208">
        <f t="shared" si="195"/>
        <v>7.0729899607333753</v>
      </c>
    </row>
    <row r="286" spans="1:26">
      <c r="A286" s="150">
        <v>1.59</v>
      </c>
      <c r="B286" s="151">
        <f t="shared" si="185"/>
        <v>1.4854998624335214</v>
      </c>
      <c r="C286" s="152">
        <f t="shared" si="176"/>
        <v>35.582857142857144</v>
      </c>
      <c r="D286" s="152">
        <f t="shared" si="177"/>
        <v>35.882857142857141</v>
      </c>
      <c r="E286" s="153">
        <f t="shared" si="178"/>
        <v>27.485471964818597</v>
      </c>
      <c r="F286" s="154">
        <f t="shared" si="170"/>
        <v>7.278295377271907</v>
      </c>
      <c r="G286" s="155">
        <f t="shared" si="179"/>
        <v>27.485471964818597</v>
      </c>
      <c r="H286" s="155">
        <f t="shared" si="171"/>
        <v>8.7273838534779635</v>
      </c>
      <c r="I286" s="208">
        <f t="shared" si="186"/>
        <v>27.485471964818597</v>
      </c>
      <c r="J286" s="208">
        <f>0.5*Lm*$B286*$B286*I286*0.001</f>
        <v>7.278295377271907</v>
      </c>
      <c r="K286" s="155">
        <f t="shared" si="181"/>
        <v>27.485471964818597</v>
      </c>
      <c r="L286" s="155">
        <f t="shared" si="172"/>
        <v>6.0497051190126951</v>
      </c>
      <c r="M286" s="208">
        <f t="shared" si="187"/>
        <v>27.485471964818597</v>
      </c>
      <c r="N286" s="208">
        <f t="shared" si="192"/>
        <v>7.278295377271907</v>
      </c>
      <c r="O286" s="155">
        <f t="shared" si="182"/>
        <v>27.485471964818597</v>
      </c>
      <c r="P286" s="155">
        <f t="shared" si="173"/>
        <v>5.7709716886348188</v>
      </c>
      <c r="Q286" s="208">
        <f t="shared" si="188"/>
        <v>27.485471964818597</v>
      </c>
      <c r="R286" s="208">
        <f t="shared" si="193"/>
        <v>7.278295377271907</v>
      </c>
      <c r="S286" s="155">
        <f t="shared" si="183"/>
        <v>27.485471964818597</v>
      </c>
      <c r="T286" s="155">
        <f t="shared" si="174"/>
        <v>5.4297003457444655</v>
      </c>
      <c r="U286" s="208">
        <f t="shared" si="189"/>
        <v>27.485471964818597</v>
      </c>
      <c r="V286" s="208">
        <f t="shared" si="194"/>
        <v>7.278295377271907</v>
      </c>
      <c r="W286" s="155">
        <f t="shared" si="184"/>
        <v>27.485471964818597</v>
      </c>
      <c r="X286" s="155">
        <f t="shared" si="175"/>
        <v>5.1090579702729961</v>
      </c>
      <c r="Y286" s="208">
        <f t="shared" si="190"/>
        <v>27.485471964818597</v>
      </c>
      <c r="Z286" s="208">
        <f t="shared" si="195"/>
        <v>7.278295377271907</v>
      </c>
    </row>
    <row r="287" spans="1:26">
      <c r="A287" s="150">
        <v>1.6</v>
      </c>
      <c r="B287" s="151">
        <f t="shared" si="185"/>
        <v>1.4953037840021488</v>
      </c>
      <c r="C287" s="152">
        <f t="shared" si="176"/>
        <v>35.019327731092439</v>
      </c>
      <c r="D287" s="152">
        <f t="shared" si="177"/>
        <v>35.319327731092436</v>
      </c>
      <c r="E287" s="153">
        <f t="shared" si="178"/>
        <v>27.917888563049853</v>
      </c>
      <c r="F287" s="154">
        <f t="shared" si="170"/>
        <v>7.4907047610844222</v>
      </c>
      <c r="G287" s="155">
        <f t="shared" si="179"/>
        <v>27.917888563049853</v>
      </c>
      <c r="H287" s="155">
        <f t="shared" si="171"/>
        <v>8.7816824960119</v>
      </c>
      <c r="I287" s="208">
        <f t="shared" si="186"/>
        <v>27.917888563049853</v>
      </c>
      <c r="J287" s="208">
        <f t="shared" ref="J287" si="198">0.5*$A$3*$B287*$B287*I287*0.001</f>
        <v>7.4907047610844222</v>
      </c>
      <c r="K287" s="155">
        <f t="shared" si="181"/>
        <v>27.917888563049853</v>
      </c>
      <c r="L287" s="155">
        <f t="shared" si="172"/>
        <v>6.0863317624017288</v>
      </c>
      <c r="M287" s="208">
        <f t="shared" si="187"/>
        <v>27.917888563049853</v>
      </c>
      <c r="N287" s="208">
        <f t="shared" si="192"/>
        <v>7.4907047610844222</v>
      </c>
      <c r="O287" s="155">
        <f t="shared" si="182"/>
        <v>27.917888563049853</v>
      </c>
      <c r="P287" s="155">
        <f t="shared" si="173"/>
        <v>5.8057587622203908</v>
      </c>
      <c r="Q287" s="208">
        <f t="shared" si="188"/>
        <v>27.917888563049853</v>
      </c>
      <c r="R287" s="208">
        <f t="shared" si="193"/>
        <v>7.4907047610844222</v>
      </c>
      <c r="S287" s="155">
        <f t="shared" si="183"/>
        <v>27.917888563049853</v>
      </c>
      <c r="T287" s="155">
        <f t="shared" si="174"/>
        <v>5.4622351151973145</v>
      </c>
      <c r="U287" s="208">
        <f t="shared" si="189"/>
        <v>27.917888563049853</v>
      </c>
      <c r="V287" s="208">
        <f t="shared" si="194"/>
        <v>7.4907047610844222</v>
      </c>
      <c r="W287" s="155">
        <f t="shared" si="184"/>
        <v>27.917888563049853</v>
      </c>
      <c r="X287" s="155">
        <f t="shared" si="175"/>
        <v>5.1394765815354626</v>
      </c>
      <c r="Y287" s="208">
        <f t="shared" si="190"/>
        <v>27.917888563049853</v>
      </c>
      <c r="Z287" s="208">
        <f t="shared" si="195"/>
        <v>7.4907047610844222</v>
      </c>
    </row>
    <row r="288" spans="1:26">
      <c r="A288" s="150">
        <v>1.61</v>
      </c>
      <c r="B288" s="151">
        <f t="shared" si="185"/>
        <v>1.5051077055707762</v>
      </c>
      <c r="C288" s="152">
        <f t="shared" si="176"/>
        <v>34.455798319327734</v>
      </c>
      <c r="D288" s="152">
        <f t="shared" si="177"/>
        <v>34.755798319327731</v>
      </c>
      <c r="E288" s="153">
        <f t="shared" si="178"/>
        <v>28.364128673035488</v>
      </c>
      <c r="F288" s="154">
        <f t="shared" si="170"/>
        <v>7.7105587620517904</v>
      </c>
      <c r="G288" s="155">
        <f t="shared" si="179"/>
        <v>28.364128673035488</v>
      </c>
      <c r="H288" s="155">
        <f t="shared" si="171"/>
        <v>8.8359811385458364</v>
      </c>
      <c r="I288" s="208">
        <f t="shared" si="186"/>
        <v>28.364128673035488</v>
      </c>
      <c r="J288" s="208">
        <f>0.5*Lm*$B288*$B288*I288*0.001</f>
        <v>7.7105587620517904</v>
      </c>
      <c r="K288" s="155">
        <f t="shared" si="181"/>
        <v>28.364128673035488</v>
      </c>
      <c r="L288" s="155">
        <f t="shared" si="172"/>
        <v>6.1229584057907616</v>
      </c>
      <c r="M288" s="208">
        <f t="shared" si="187"/>
        <v>28.364128673035488</v>
      </c>
      <c r="N288" s="208">
        <f t="shared" si="192"/>
        <v>7.7105587620517904</v>
      </c>
      <c r="O288" s="155">
        <f t="shared" si="182"/>
        <v>28.364128673035488</v>
      </c>
      <c r="P288" s="155">
        <f t="shared" si="173"/>
        <v>5.8405458358059619</v>
      </c>
      <c r="Q288" s="208">
        <f t="shared" si="188"/>
        <v>28.364128673035488</v>
      </c>
      <c r="R288" s="208">
        <f t="shared" si="193"/>
        <v>7.7105587620517904</v>
      </c>
      <c r="S288" s="155">
        <f t="shared" si="183"/>
        <v>28.364128673035488</v>
      </c>
      <c r="T288" s="155">
        <f t="shared" si="174"/>
        <v>5.4947698846501645</v>
      </c>
      <c r="U288" s="208">
        <f t="shared" si="189"/>
        <v>28.364128673035488</v>
      </c>
      <c r="V288" s="208">
        <f t="shared" si="194"/>
        <v>7.7105587620517904</v>
      </c>
      <c r="W288" s="155">
        <f t="shared" si="184"/>
        <v>28.364128673035488</v>
      </c>
      <c r="X288" s="155">
        <f t="shared" si="175"/>
        <v>5.16989519279793</v>
      </c>
      <c r="Y288" s="208">
        <f t="shared" si="190"/>
        <v>28.364128673035488</v>
      </c>
      <c r="Z288" s="208">
        <f t="shared" si="195"/>
        <v>7.7105587620517904</v>
      </c>
    </row>
    <row r="289" spans="1:26">
      <c r="A289" s="150">
        <v>1.62</v>
      </c>
      <c r="B289" s="151">
        <f t="shared" si="185"/>
        <v>1.5149116271394039</v>
      </c>
      <c r="C289" s="152">
        <f t="shared" si="176"/>
        <v>33.892268907563022</v>
      </c>
      <c r="D289" s="152">
        <f t="shared" si="177"/>
        <v>34.192268907563019</v>
      </c>
      <c r="E289" s="153">
        <f t="shared" si="178"/>
        <v>28.824865928039575</v>
      </c>
      <c r="F289" s="154">
        <f t="shared" si="170"/>
        <v>7.9382201636578982</v>
      </c>
      <c r="G289" s="155">
        <f t="shared" si="179"/>
        <v>28.824865928039575</v>
      </c>
      <c r="H289" s="155">
        <f t="shared" si="171"/>
        <v>8.8902797810797747</v>
      </c>
      <c r="I289" s="208">
        <f t="shared" si="186"/>
        <v>28.824865928039575</v>
      </c>
      <c r="J289" s="208">
        <f t="shared" ref="J289" si="199">0.5*$A$3*$B289*$B289*I289*0.001</f>
        <v>7.9382201636578982</v>
      </c>
      <c r="K289" s="155">
        <f t="shared" si="181"/>
        <v>28.824865928039575</v>
      </c>
      <c r="L289" s="155">
        <f t="shared" si="172"/>
        <v>6.1595850491797961</v>
      </c>
      <c r="M289" s="208">
        <f t="shared" si="187"/>
        <v>28.824865928039575</v>
      </c>
      <c r="N289" s="208">
        <f t="shared" si="192"/>
        <v>7.9382201636578982</v>
      </c>
      <c r="O289" s="155">
        <f t="shared" si="182"/>
        <v>28.824865928039575</v>
      </c>
      <c r="P289" s="155">
        <f t="shared" si="173"/>
        <v>5.8753329093915347</v>
      </c>
      <c r="Q289" s="208">
        <f t="shared" si="188"/>
        <v>28.824865928039575</v>
      </c>
      <c r="R289" s="208">
        <f t="shared" si="193"/>
        <v>7.9382201636578982</v>
      </c>
      <c r="S289" s="155">
        <f t="shared" si="183"/>
        <v>28.824865928039575</v>
      </c>
      <c r="T289" s="155">
        <f t="shared" si="174"/>
        <v>5.5273046541030144</v>
      </c>
      <c r="U289" s="208">
        <f t="shared" si="189"/>
        <v>28.824865928039575</v>
      </c>
      <c r="V289" s="208">
        <f t="shared" si="194"/>
        <v>7.9382201636578982</v>
      </c>
      <c r="W289" s="155">
        <f t="shared" si="184"/>
        <v>28.824865928039575</v>
      </c>
      <c r="X289" s="155">
        <f t="shared" si="175"/>
        <v>5.2003138040603973</v>
      </c>
      <c r="Y289" s="208">
        <f t="shared" si="190"/>
        <v>28.824865928039575</v>
      </c>
      <c r="Z289" s="208">
        <f t="shared" si="195"/>
        <v>7.9382201636578982</v>
      </c>
    </row>
    <row r="290" spans="1:26">
      <c r="A290" s="150">
        <v>1.63</v>
      </c>
      <c r="B290" s="151">
        <f t="shared" si="185"/>
        <v>1.5247155487080308</v>
      </c>
      <c r="C290" s="152">
        <f t="shared" si="176"/>
        <v>33.328739495798331</v>
      </c>
      <c r="D290" s="152">
        <f t="shared" si="177"/>
        <v>33.628739495798328</v>
      </c>
      <c r="E290" s="153">
        <f t="shared" si="178"/>
        <v>29.300818453113759</v>
      </c>
      <c r="F290" s="154">
        <f t="shared" si="170"/>
        <v>8.1740757103258552</v>
      </c>
      <c r="G290" s="155">
        <f t="shared" si="179"/>
        <v>29.300818453113759</v>
      </c>
      <c r="H290" s="155">
        <f t="shared" si="171"/>
        <v>8.9445784236137094</v>
      </c>
      <c r="I290" s="208">
        <f t="shared" si="186"/>
        <v>29.300818453113759</v>
      </c>
      <c r="J290" s="208">
        <f>0.5*Lm*$B290*$B290*I290*0.001</f>
        <v>8.1740757103258552</v>
      </c>
      <c r="K290" s="155">
        <f t="shared" si="181"/>
        <v>29.300818453113759</v>
      </c>
      <c r="L290" s="155">
        <f t="shared" si="172"/>
        <v>6.1962116925688271</v>
      </c>
      <c r="M290" s="208">
        <f t="shared" si="187"/>
        <v>29.300818453113759</v>
      </c>
      <c r="N290" s="208">
        <f t="shared" si="192"/>
        <v>8.1740757103258552</v>
      </c>
      <c r="O290" s="155">
        <f t="shared" si="182"/>
        <v>29.300818453113759</v>
      </c>
      <c r="P290" s="155">
        <f t="shared" si="173"/>
        <v>5.9101199829771041</v>
      </c>
      <c r="Q290" s="208">
        <f t="shared" si="188"/>
        <v>29.300818453113759</v>
      </c>
      <c r="R290" s="208">
        <f t="shared" si="193"/>
        <v>8.1740757103258552</v>
      </c>
      <c r="S290" s="155">
        <f t="shared" si="183"/>
        <v>29.300818453113759</v>
      </c>
      <c r="T290" s="155">
        <f t="shared" si="174"/>
        <v>5.5598394235558626</v>
      </c>
      <c r="U290" s="208">
        <f t="shared" si="189"/>
        <v>29.300818453113759</v>
      </c>
      <c r="V290" s="208">
        <f t="shared" si="194"/>
        <v>8.1740757103258552</v>
      </c>
      <c r="W290" s="155">
        <f t="shared" si="184"/>
        <v>29.300818453113759</v>
      </c>
      <c r="X290" s="155">
        <f t="shared" si="175"/>
        <v>5.2307324153228629</v>
      </c>
      <c r="Y290" s="208">
        <f t="shared" si="190"/>
        <v>29.300818453113759</v>
      </c>
      <c r="Z290" s="208">
        <f t="shared" si="195"/>
        <v>8.1740757103258552</v>
      </c>
    </row>
    <row r="291" spans="1:26">
      <c r="A291" s="150">
        <v>1.64</v>
      </c>
      <c r="B291" s="151">
        <f t="shared" si="185"/>
        <v>1.5345194702766585</v>
      </c>
      <c r="C291" s="152">
        <f t="shared" si="176"/>
        <v>32.765210084033619</v>
      </c>
      <c r="D291" s="152">
        <f t="shared" si="177"/>
        <v>33.065210084033616</v>
      </c>
      <c r="E291" s="153">
        <f t="shared" si="178"/>
        <v>29.792752599980972</v>
      </c>
      <c r="F291" s="154">
        <f t="shared" si="170"/>
        <v>8.4185381188301402</v>
      </c>
      <c r="G291" s="155">
        <f t="shared" si="179"/>
        <v>29.792752599980972</v>
      </c>
      <c r="H291" s="155">
        <f t="shared" si="171"/>
        <v>8.9988770661476458</v>
      </c>
      <c r="I291" s="208">
        <f t="shared" si="186"/>
        <v>29.792752599980972</v>
      </c>
      <c r="J291" s="208">
        <f t="shared" ref="J291" si="200">0.5*$A$3*$B291*$B291*I291*0.001</f>
        <v>8.4185381188301402</v>
      </c>
      <c r="K291" s="155">
        <f t="shared" si="181"/>
        <v>29.792752599980972</v>
      </c>
      <c r="L291" s="155">
        <f t="shared" si="172"/>
        <v>6.2328383359578616</v>
      </c>
      <c r="M291" s="208">
        <f t="shared" si="187"/>
        <v>29.792752599980972</v>
      </c>
      <c r="N291" s="208">
        <f t="shared" si="192"/>
        <v>8.4185381188301402</v>
      </c>
      <c r="O291" s="155">
        <f t="shared" si="182"/>
        <v>29.792752599980972</v>
      </c>
      <c r="P291" s="155">
        <f t="shared" si="173"/>
        <v>5.9449070565626769</v>
      </c>
      <c r="Q291" s="208">
        <f t="shared" si="188"/>
        <v>29.792752599980972</v>
      </c>
      <c r="R291" s="208">
        <f t="shared" si="193"/>
        <v>8.4185381188301402</v>
      </c>
      <c r="S291" s="155">
        <f t="shared" si="183"/>
        <v>29.792752599980972</v>
      </c>
      <c r="T291" s="155">
        <f t="shared" si="174"/>
        <v>5.5923741930087125</v>
      </c>
      <c r="U291" s="208">
        <f t="shared" si="189"/>
        <v>29.792752599980972</v>
      </c>
      <c r="V291" s="208">
        <f t="shared" si="194"/>
        <v>8.4185381188301402</v>
      </c>
      <c r="W291" s="155">
        <f t="shared" si="184"/>
        <v>29.792752599980972</v>
      </c>
      <c r="X291" s="155">
        <f t="shared" si="175"/>
        <v>5.2611510265853312</v>
      </c>
      <c r="Y291" s="208">
        <f t="shared" si="190"/>
        <v>29.792752599980972</v>
      </c>
      <c r="Z291" s="208">
        <f t="shared" si="195"/>
        <v>8.4185381188301402</v>
      </c>
    </row>
    <row r="292" spans="1:26">
      <c r="A292" s="150">
        <v>1.65</v>
      </c>
      <c r="B292" s="151">
        <f t="shared" si="185"/>
        <v>1.5443233918452859</v>
      </c>
      <c r="C292" s="152">
        <f t="shared" si="176"/>
        <v>32.201680672268914</v>
      </c>
      <c r="D292" s="152">
        <f t="shared" si="177"/>
        <v>32.501680672268911</v>
      </c>
      <c r="E292" s="153">
        <f t="shared" si="178"/>
        <v>30.301487064575266</v>
      </c>
      <c r="F292" s="154">
        <f t="shared" si="170"/>
        <v>8.6720482957872136</v>
      </c>
      <c r="G292" s="155">
        <f t="shared" si="179"/>
        <v>30.301487064575266</v>
      </c>
      <c r="H292" s="155">
        <f t="shared" si="171"/>
        <v>9.0531757086815823</v>
      </c>
      <c r="I292" s="208">
        <f t="shared" si="186"/>
        <v>30.301487064575266</v>
      </c>
      <c r="J292" s="208">
        <f>0.5*Lm*$B292*$B292*I292*0.001</f>
        <v>8.6720482957872136</v>
      </c>
      <c r="K292" s="155">
        <f t="shared" si="181"/>
        <v>30.301487064575266</v>
      </c>
      <c r="L292" s="155">
        <f t="shared" si="172"/>
        <v>6.2694649793468944</v>
      </c>
      <c r="M292" s="208">
        <f t="shared" si="187"/>
        <v>30.301487064575266</v>
      </c>
      <c r="N292" s="208">
        <f t="shared" si="192"/>
        <v>8.6720482957872136</v>
      </c>
      <c r="O292" s="155">
        <f t="shared" si="182"/>
        <v>30.301487064575266</v>
      </c>
      <c r="P292" s="155">
        <f t="shared" si="173"/>
        <v>5.979694130148248</v>
      </c>
      <c r="Q292" s="208">
        <f t="shared" si="188"/>
        <v>30.301487064575266</v>
      </c>
      <c r="R292" s="208">
        <f t="shared" si="193"/>
        <v>8.6720482957872136</v>
      </c>
      <c r="S292" s="155">
        <f t="shared" si="183"/>
        <v>30.301487064575266</v>
      </c>
      <c r="T292" s="155">
        <f t="shared" si="174"/>
        <v>5.6249089624615625</v>
      </c>
      <c r="U292" s="208">
        <f t="shared" si="189"/>
        <v>30.301487064575266</v>
      </c>
      <c r="V292" s="208">
        <f t="shared" si="194"/>
        <v>8.6720482957872136</v>
      </c>
      <c r="W292" s="155">
        <f t="shared" si="184"/>
        <v>30.301487064575266</v>
      </c>
      <c r="X292" s="155">
        <f t="shared" si="175"/>
        <v>5.2915696378477977</v>
      </c>
      <c r="Y292" s="208">
        <f t="shared" si="190"/>
        <v>30.301487064575266</v>
      </c>
      <c r="Z292" s="208">
        <f t="shared" si="195"/>
        <v>8.6720482957872136</v>
      </c>
    </row>
    <row r="293" spans="1:26">
      <c r="A293" s="150">
        <v>1.66</v>
      </c>
      <c r="B293" s="151">
        <f t="shared" si="185"/>
        <v>1.5541273134139133</v>
      </c>
      <c r="C293" s="152">
        <f t="shared" si="176"/>
        <v>31.638151260504213</v>
      </c>
      <c r="D293" s="152">
        <f t="shared" si="177"/>
        <v>31.938151260504213</v>
      </c>
      <c r="E293" s="153">
        <f t="shared" si="178"/>
        <v>30.82789743377182</v>
      </c>
      <c r="F293" s="154">
        <f t="shared" si="170"/>
        <v>8.935077786285424</v>
      </c>
      <c r="G293" s="155">
        <f t="shared" si="179"/>
        <v>30.82789743377182</v>
      </c>
      <c r="H293" s="155">
        <f t="shared" si="171"/>
        <v>9.1074743512155187</v>
      </c>
      <c r="I293" s="208">
        <f t="shared" si="186"/>
        <v>30.82789743377182</v>
      </c>
      <c r="J293" s="208">
        <f t="shared" ref="J293" si="201">0.5*$A$3*$B293*$B293*I293*0.001</f>
        <v>8.935077786285424</v>
      </c>
      <c r="K293" s="155">
        <f t="shared" si="181"/>
        <v>30.82789743377182</v>
      </c>
      <c r="L293" s="155">
        <f t="shared" si="172"/>
        <v>6.306091622735928</v>
      </c>
      <c r="M293" s="208">
        <f t="shared" si="187"/>
        <v>30.82789743377182</v>
      </c>
      <c r="N293" s="208">
        <f t="shared" si="192"/>
        <v>8.935077786285424</v>
      </c>
      <c r="O293" s="155">
        <f t="shared" si="182"/>
        <v>30.82789743377182</v>
      </c>
      <c r="P293" s="155">
        <f t="shared" si="173"/>
        <v>6.01448120373382</v>
      </c>
      <c r="Q293" s="208">
        <f t="shared" si="188"/>
        <v>30.82789743377182</v>
      </c>
      <c r="R293" s="208">
        <f t="shared" si="193"/>
        <v>8.935077786285424</v>
      </c>
      <c r="S293" s="155">
        <f t="shared" si="183"/>
        <v>30.82789743377182</v>
      </c>
      <c r="T293" s="155">
        <f t="shared" si="174"/>
        <v>5.6574437319144115</v>
      </c>
      <c r="U293" s="208">
        <f t="shared" si="189"/>
        <v>30.82789743377182</v>
      </c>
      <c r="V293" s="208">
        <f t="shared" si="194"/>
        <v>8.935077786285424</v>
      </c>
      <c r="W293" s="155">
        <f t="shared" si="184"/>
        <v>30.82789743377182</v>
      </c>
      <c r="X293" s="155">
        <f t="shared" si="175"/>
        <v>5.321988249110265</v>
      </c>
      <c r="Y293" s="208">
        <f t="shared" si="190"/>
        <v>30.82789743377182</v>
      </c>
      <c r="Z293" s="208">
        <f t="shared" si="195"/>
        <v>8.935077786285424</v>
      </c>
    </row>
    <row r="294" spans="1:26">
      <c r="A294" s="150">
        <v>1.67</v>
      </c>
      <c r="B294" s="151">
        <f t="shared" si="185"/>
        <v>1.5639312349825409</v>
      </c>
      <c r="C294" s="152">
        <f t="shared" si="176"/>
        <v>31.074621848739504</v>
      </c>
      <c r="D294" s="152">
        <f t="shared" si="177"/>
        <v>31.374621848739505</v>
      </c>
      <c r="E294" s="153">
        <f t="shared" si="178"/>
        <v>31.372921214422043</v>
      </c>
      <c r="F294" s="154">
        <f t="shared" si="170"/>
        <v>9.2081314822590965</v>
      </c>
      <c r="G294" s="155">
        <f t="shared" si="179"/>
        <v>31.372921214422043</v>
      </c>
      <c r="H294" s="155">
        <f t="shared" si="171"/>
        <v>9.161772993749457</v>
      </c>
      <c r="I294" s="208">
        <f t="shared" si="186"/>
        <v>31.372921214422043</v>
      </c>
      <c r="J294" s="208">
        <f>0.5*Lm*$B294*$B294*I294*0.001</f>
        <v>9.2081314822590965</v>
      </c>
      <c r="K294" s="155">
        <f t="shared" si="181"/>
        <v>31.372921214422043</v>
      </c>
      <c r="L294" s="155">
        <f t="shared" si="172"/>
        <v>6.3427182661249617</v>
      </c>
      <c r="M294" s="208">
        <f t="shared" si="187"/>
        <v>31.372921214422043</v>
      </c>
      <c r="N294" s="208">
        <f t="shared" si="192"/>
        <v>9.2081314822590965</v>
      </c>
      <c r="O294" s="155">
        <f t="shared" si="182"/>
        <v>31.372921214422043</v>
      </c>
      <c r="P294" s="155">
        <f t="shared" si="173"/>
        <v>6.049268277319392</v>
      </c>
      <c r="Q294" s="208">
        <f t="shared" si="188"/>
        <v>31.372921214422043</v>
      </c>
      <c r="R294" s="208">
        <f t="shared" si="193"/>
        <v>9.2081314822590965</v>
      </c>
      <c r="S294" s="155">
        <f t="shared" si="183"/>
        <v>31.372921214422043</v>
      </c>
      <c r="T294" s="155">
        <f t="shared" si="174"/>
        <v>5.6899785013672624</v>
      </c>
      <c r="U294" s="208">
        <f t="shared" si="189"/>
        <v>31.372921214422043</v>
      </c>
      <c r="V294" s="208">
        <f t="shared" si="194"/>
        <v>9.2081314822590965</v>
      </c>
      <c r="W294" s="155">
        <f t="shared" si="184"/>
        <v>31.372921214422043</v>
      </c>
      <c r="X294" s="155">
        <f t="shared" si="175"/>
        <v>5.3524068603727333</v>
      </c>
      <c r="Y294" s="208">
        <f t="shared" si="190"/>
        <v>31.372921214422043</v>
      </c>
      <c r="Z294" s="208">
        <f t="shared" si="195"/>
        <v>9.2081314822590965</v>
      </c>
    </row>
    <row r="295" spans="1:26">
      <c r="A295" s="150">
        <v>1.68</v>
      </c>
      <c r="B295" s="151">
        <f t="shared" si="185"/>
        <v>1.5737351565511684</v>
      </c>
      <c r="C295" s="152">
        <f t="shared" si="176"/>
        <v>30.511092436974792</v>
      </c>
      <c r="D295" s="152">
        <f t="shared" si="177"/>
        <v>30.811092436974793</v>
      </c>
      <c r="E295" s="153">
        <f t="shared" si="178"/>
        <v>31.937563405456757</v>
      </c>
      <c r="F295" s="154">
        <f t="shared" si="170"/>
        <v>9.4917506233305389</v>
      </c>
      <c r="G295" s="155">
        <f t="shared" si="179"/>
        <v>31.937563405456757</v>
      </c>
      <c r="H295" s="155">
        <f t="shared" si="171"/>
        <v>9.2160716362833934</v>
      </c>
      <c r="I295" s="208">
        <f t="shared" si="186"/>
        <v>31.937563405456757</v>
      </c>
      <c r="J295" s="208">
        <f t="shared" ref="J295" si="202">0.5*$A$3*$B295*$B295*I295*0.001</f>
        <v>9.4917506233305389</v>
      </c>
      <c r="K295" s="155">
        <f t="shared" si="181"/>
        <v>31.937563405456757</v>
      </c>
      <c r="L295" s="155">
        <f t="shared" si="172"/>
        <v>6.3793449095139954</v>
      </c>
      <c r="M295" s="208">
        <f t="shared" si="187"/>
        <v>31.937563405456757</v>
      </c>
      <c r="N295" s="208">
        <f t="shared" si="192"/>
        <v>9.4917506233305389</v>
      </c>
      <c r="O295" s="155">
        <f t="shared" si="182"/>
        <v>31.937563405456757</v>
      </c>
      <c r="P295" s="155">
        <f t="shared" si="173"/>
        <v>6.084055350904964</v>
      </c>
      <c r="Q295" s="208">
        <f t="shared" si="188"/>
        <v>31.937563405456757</v>
      </c>
      <c r="R295" s="208">
        <f t="shared" si="193"/>
        <v>9.4917506233305389</v>
      </c>
      <c r="S295" s="155">
        <f t="shared" si="183"/>
        <v>31.937563405456757</v>
      </c>
      <c r="T295" s="155">
        <f t="shared" si="174"/>
        <v>5.7225132708201105</v>
      </c>
      <c r="U295" s="208">
        <f t="shared" si="189"/>
        <v>31.937563405456757</v>
      </c>
      <c r="V295" s="208">
        <f t="shared" si="194"/>
        <v>9.4917506233305389</v>
      </c>
      <c r="W295" s="155">
        <f t="shared" si="184"/>
        <v>31.937563405456757</v>
      </c>
      <c r="X295" s="155">
        <f t="shared" si="175"/>
        <v>5.3828254716351998</v>
      </c>
      <c r="Y295" s="208">
        <f t="shared" si="190"/>
        <v>31.937563405456757</v>
      </c>
      <c r="Z295" s="208">
        <f t="shared" si="195"/>
        <v>9.4917506233305389</v>
      </c>
    </row>
    <row r="296" spans="1:26">
      <c r="A296" s="150">
        <v>1.69</v>
      </c>
      <c r="B296" s="151">
        <f t="shared" si="185"/>
        <v>1.5835390781197956</v>
      </c>
      <c r="C296" s="152">
        <f t="shared" si="176"/>
        <v>29.947563025210091</v>
      </c>
      <c r="D296" s="152">
        <f t="shared" si="177"/>
        <v>30.247563025210091</v>
      </c>
      <c r="E296" s="153">
        <f t="shared" si="178"/>
        <v>32.522902682729509</v>
      </c>
      <c r="F296" s="154">
        <f t="shared" si="170"/>
        <v>9.7865161276417272</v>
      </c>
      <c r="G296" s="155">
        <f t="shared" si="179"/>
        <v>32.522902682729509</v>
      </c>
      <c r="H296" s="155">
        <f t="shared" si="171"/>
        <v>9.2703702788173281</v>
      </c>
      <c r="I296" s="208">
        <f t="shared" si="186"/>
        <v>32.522902682729509</v>
      </c>
      <c r="J296" s="208">
        <f>0.5*Lm*$B296*$B296*I296*0.001</f>
        <v>9.7865161276417272</v>
      </c>
      <c r="K296" s="155">
        <f t="shared" si="181"/>
        <v>32.522902682729509</v>
      </c>
      <c r="L296" s="155">
        <f t="shared" si="172"/>
        <v>6.4159715529030272</v>
      </c>
      <c r="M296" s="208">
        <f t="shared" si="187"/>
        <v>32.522902682729509</v>
      </c>
      <c r="N296" s="208">
        <f t="shared" si="192"/>
        <v>9.7865161276417272</v>
      </c>
      <c r="O296" s="155">
        <f t="shared" si="182"/>
        <v>32.522902682729509</v>
      </c>
      <c r="P296" s="155">
        <f t="shared" si="173"/>
        <v>6.1188424244905342</v>
      </c>
      <c r="Q296" s="208">
        <f t="shared" si="188"/>
        <v>32.522902682729509</v>
      </c>
      <c r="R296" s="208">
        <f t="shared" si="193"/>
        <v>9.7865161276417272</v>
      </c>
      <c r="S296" s="155">
        <f t="shared" si="183"/>
        <v>32.522902682729509</v>
      </c>
      <c r="T296" s="155">
        <f t="shared" si="174"/>
        <v>5.7550480402729605</v>
      </c>
      <c r="U296" s="208">
        <f t="shared" si="189"/>
        <v>32.522902682729509</v>
      </c>
      <c r="V296" s="208">
        <f t="shared" si="194"/>
        <v>9.7865161276417272</v>
      </c>
      <c r="W296" s="155">
        <f t="shared" si="184"/>
        <v>32.522902682729509</v>
      </c>
      <c r="X296" s="155">
        <f t="shared" si="175"/>
        <v>5.4132440828976662</v>
      </c>
      <c r="Y296" s="208">
        <f t="shared" si="190"/>
        <v>32.522902682729509</v>
      </c>
      <c r="Z296" s="208">
        <f t="shared" si="195"/>
        <v>9.7865161276417272</v>
      </c>
    </row>
    <row r="297" spans="1:26">
      <c r="A297" s="150">
        <v>1.7</v>
      </c>
      <c r="B297" s="151">
        <f t="shared" si="185"/>
        <v>1.5933429996884234</v>
      </c>
      <c r="C297" s="152">
        <f t="shared" si="176"/>
        <v>29.384033613445386</v>
      </c>
      <c r="D297" s="152">
        <f t="shared" si="177"/>
        <v>29.684033613445386</v>
      </c>
      <c r="E297" s="153">
        <f t="shared" si="178"/>
        <v>33.130098276678069</v>
      </c>
      <c r="F297" s="154">
        <f t="shared" si="170"/>
        <v>10.093052295801424</v>
      </c>
      <c r="G297" s="155">
        <f t="shared" si="179"/>
        <v>33.130098276678069</v>
      </c>
      <c r="H297" s="155">
        <f t="shared" si="171"/>
        <v>9.3246689213512681</v>
      </c>
      <c r="I297" s="208">
        <f t="shared" si="186"/>
        <v>33.130098276678069</v>
      </c>
      <c r="J297" s="208">
        <f t="shared" ref="J297" si="203">0.5*$A$3*$B297*$B297*I297*0.001</f>
        <v>10.093052295801424</v>
      </c>
      <c r="K297" s="155">
        <f t="shared" si="181"/>
        <v>33.130098276678069</v>
      </c>
      <c r="L297" s="155">
        <f t="shared" si="172"/>
        <v>6.4525981962920627</v>
      </c>
      <c r="M297" s="208">
        <f t="shared" si="187"/>
        <v>33.130098276678069</v>
      </c>
      <c r="N297" s="208">
        <f t="shared" si="192"/>
        <v>10.093052295801424</v>
      </c>
      <c r="O297" s="155">
        <f t="shared" si="182"/>
        <v>33.130098276678069</v>
      </c>
      <c r="P297" s="155">
        <f t="shared" si="173"/>
        <v>6.1536294980761079</v>
      </c>
      <c r="Q297" s="208">
        <f t="shared" si="188"/>
        <v>33.130098276678069</v>
      </c>
      <c r="R297" s="208">
        <f t="shared" si="193"/>
        <v>10.093052295801424</v>
      </c>
      <c r="S297" s="155">
        <f t="shared" si="183"/>
        <v>33.130098276678069</v>
      </c>
      <c r="T297" s="155">
        <f t="shared" si="174"/>
        <v>5.7875828097258104</v>
      </c>
      <c r="U297" s="208">
        <f t="shared" si="189"/>
        <v>33.130098276678069</v>
      </c>
      <c r="V297" s="208">
        <f t="shared" si="194"/>
        <v>10.093052295801424</v>
      </c>
      <c r="W297" s="155">
        <f t="shared" si="184"/>
        <v>33.130098276678069</v>
      </c>
      <c r="X297" s="155">
        <f t="shared" si="175"/>
        <v>5.4436626941601345</v>
      </c>
      <c r="Y297" s="208">
        <f t="shared" si="190"/>
        <v>33.130098276678069</v>
      </c>
      <c r="Z297" s="208">
        <f t="shared" si="195"/>
        <v>10.093052295801424</v>
      </c>
    </row>
    <row r="298" spans="1:26">
      <c r="A298" s="150">
        <v>1.71</v>
      </c>
      <c r="B298" s="151">
        <f t="shared" si="185"/>
        <v>1.6031469212570506</v>
      </c>
      <c r="C298" s="152">
        <f t="shared" si="176"/>
        <v>28.820504201680681</v>
      </c>
      <c r="D298" s="152">
        <f t="shared" si="177"/>
        <v>29.120504201680681</v>
      </c>
      <c r="E298" s="153">
        <f t="shared" si="178"/>
        <v>33.76039763506995</v>
      </c>
      <c r="F298" s="154">
        <f t="shared" si="170"/>
        <v>10.412030937637311</v>
      </c>
      <c r="G298" s="155">
        <f t="shared" si="179"/>
        <v>33.76039763506995</v>
      </c>
      <c r="H298" s="155">
        <f t="shared" si="171"/>
        <v>9.3789675638852028</v>
      </c>
      <c r="I298" s="208">
        <f t="shared" si="186"/>
        <v>33.76039763506995</v>
      </c>
      <c r="J298" s="208">
        <f>0.5*Lm*$B298*$B298*I298*0.001</f>
        <v>10.412030937637311</v>
      </c>
      <c r="K298" s="155">
        <f t="shared" si="181"/>
        <v>33.76039763506995</v>
      </c>
      <c r="L298" s="155">
        <f t="shared" si="172"/>
        <v>6.4892248396810954</v>
      </c>
      <c r="M298" s="208">
        <f t="shared" si="187"/>
        <v>33.76039763506995</v>
      </c>
      <c r="N298" s="208">
        <f t="shared" si="192"/>
        <v>10.412030937637311</v>
      </c>
      <c r="O298" s="155">
        <f t="shared" si="182"/>
        <v>33.76039763506995</v>
      </c>
      <c r="P298" s="155">
        <f t="shared" si="173"/>
        <v>6.1884165716616781</v>
      </c>
      <c r="Q298" s="208">
        <f t="shared" si="188"/>
        <v>33.76039763506995</v>
      </c>
      <c r="R298" s="208">
        <f t="shared" si="193"/>
        <v>10.412030937637311</v>
      </c>
      <c r="S298" s="155">
        <f t="shared" si="183"/>
        <v>33.76039763506995</v>
      </c>
      <c r="T298" s="155">
        <f t="shared" si="174"/>
        <v>5.8201175791786603</v>
      </c>
      <c r="U298" s="208">
        <f t="shared" si="189"/>
        <v>33.76039763506995</v>
      </c>
      <c r="V298" s="208">
        <f t="shared" si="194"/>
        <v>10.412030937637311</v>
      </c>
      <c r="W298" s="155">
        <f t="shared" si="184"/>
        <v>33.76039763506995</v>
      </c>
      <c r="X298" s="155">
        <f t="shared" si="175"/>
        <v>5.474081305422601</v>
      </c>
      <c r="Y298" s="208">
        <f t="shared" si="190"/>
        <v>33.76039763506995</v>
      </c>
      <c r="Z298" s="208">
        <f t="shared" si="195"/>
        <v>10.412030937637311</v>
      </c>
    </row>
    <row r="299" spans="1:26">
      <c r="A299" s="150">
        <v>1.72</v>
      </c>
      <c r="B299" s="151">
        <f t="shared" si="185"/>
        <v>1.612950842825678</v>
      </c>
      <c r="C299" s="152">
        <f t="shared" si="176"/>
        <v>28.256974789915972</v>
      </c>
      <c r="D299" s="152">
        <f t="shared" si="177"/>
        <v>28.556974789915973</v>
      </c>
      <c r="E299" s="153">
        <f t="shared" si="178"/>
        <v>34.415144977413249</v>
      </c>
      <c r="F299" s="154">
        <f t="shared" si="170"/>
        <v>10.744175979152253</v>
      </c>
      <c r="G299" s="155">
        <f t="shared" si="179"/>
        <v>34.415144977413249</v>
      </c>
      <c r="H299" s="155">
        <f t="shared" si="171"/>
        <v>9.4332662064191393</v>
      </c>
      <c r="I299" s="208">
        <f t="shared" si="186"/>
        <v>34.415144977413249</v>
      </c>
      <c r="J299" s="208">
        <f t="shared" ref="J299" si="204">0.5*$A$3*$B299*$B299*I299*0.001</f>
        <v>10.744175979152253</v>
      </c>
      <c r="K299" s="155">
        <f t="shared" si="181"/>
        <v>34.415144977413249</v>
      </c>
      <c r="L299" s="155">
        <f t="shared" si="172"/>
        <v>6.5258514830701282</v>
      </c>
      <c r="M299" s="208">
        <f t="shared" si="187"/>
        <v>34.415144977413249</v>
      </c>
      <c r="N299" s="208">
        <f t="shared" si="192"/>
        <v>10.744175979152253</v>
      </c>
      <c r="O299" s="155">
        <f t="shared" si="182"/>
        <v>34.415144977413249</v>
      </c>
      <c r="P299" s="155">
        <f t="shared" si="173"/>
        <v>6.2232036452472501</v>
      </c>
      <c r="Q299" s="208">
        <f t="shared" si="188"/>
        <v>34.415144977413249</v>
      </c>
      <c r="R299" s="208">
        <f t="shared" si="193"/>
        <v>10.744175979152253</v>
      </c>
      <c r="S299" s="155">
        <f t="shared" si="183"/>
        <v>34.415144977413249</v>
      </c>
      <c r="T299" s="155">
        <f t="shared" si="174"/>
        <v>5.8526523486315085</v>
      </c>
      <c r="U299" s="208">
        <f t="shared" si="189"/>
        <v>34.415144977413249</v>
      </c>
      <c r="V299" s="208">
        <f t="shared" si="194"/>
        <v>10.744175979152253</v>
      </c>
      <c r="W299" s="155">
        <f t="shared" si="184"/>
        <v>34.415144977413249</v>
      </c>
      <c r="X299" s="155">
        <f t="shared" si="175"/>
        <v>5.5044999166850683</v>
      </c>
      <c r="Y299" s="208">
        <f t="shared" si="190"/>
        <v>34.415144977413249</v>
      </c>
      <c r="Z299" s="208">
        <f t="shared" si="195"/>
        <v>10.744175979152253</v>
      </c>
    </row>
    <row r="300" spans="1:26">
      <c r="A300" s="150">
        <v>1.73</v>
      </c>
      <c r="B300" s="151">
        <f t="shared" si="185"/>
        <v>1.6227547643943057</v>
      </c>
      <c r="C300" s="152">
        <f t="shared" si="176"/>
        <v>27.693445378151267</v>
      </c>
      <c r="D300" s="152">
        <f t="shared" si="177"/>
        <v>27.993445378151268</v>
      </c>
      <c r="E300" s="153">
        <f t="shared" si="178"/>
        <v>35.095790864477152</v>
      </c>
      <c r="F300" s="154">
        <f t="shared" si="170"/>
        <v>11.090268616165266</v>
      </c>
      <c r="G300" s="155">
        <f t="shared" si="179"/>
        <v>35.095790864477152</v>
      </c>
      <c r="H300" s="155">
        <f t="shared" si="171"/>
        <v>9.4875648489530775</v>
      </c>
      <c r="I300" s="208">
        <f t="shared" si="186"/>
        <v>35.095790864477152</v>
      </c>
      <c r="J300" s="208">
        <f>0.5*Lm*$B300*$B300*I300*0.001</f>
        <v>11.090268616165266</v>
      </c>
      <c r="K300" s="155">
        <f t="shared" si="181"/>
        <v>35.095790864477152</v>
      </c>
      <c r="L300" s="155">
        <f t="shared" si="172"/>
        <v>6.5624781264591627</v>
      </c>
      <c r="M300" s="208">
        <f t="shared" si="187"/>
        <v>35.095790864477152</v>
      </c>
      <c r="N300" s="208">
        <f t="shared" si="192"/>
        <v>11.090268616165266</v>
      </c>
      <c r="O300" s="155">
        <f t="shared" si="182"/>
        <v>35.095790864477152</v>
      </c>
      <c r="P300" s="155">
        <f t="shared" si="173"/>
        <v>6.257990718832823</v>
      </c>
      <c r="Q300" s="208">
        <f t="shared" si="188"/>
        <v>35.095790864477152</v>
      </c>
      <c r="R300" s="208">
        <f t="shared" si="193"/>
        <v>11.090268616165266</v>
      </c>
      <c r="S300" s="155">
        <f t="shared" si="183"/>
        <v>35.095790864477152</v>
      </c>
      <c r="T300" s="155">
        <f t="shared" si="174"/>
        <v>5.8851871180843593</v>
      </c>
      <c r="U300" s="208">
        <f t="shared" si="189"/>
        <v>35.095790864477152</v>
      </c>
      <c r="V300" s="208">
        <f t="shared" si="194"/>
        <v>11.090268616165266</v>
      </c>
      <c r="W300" s="155">
        <f t="shared" si="184"/>
        <v>35.095790864477152</v>
      </c>
      <c r="X300" s="155">
        <f t="shared" si="175"/>
        <v>5.5349185279475357</v>
      </c>
      <c r="Y300" s="208">
        <f t="shared" si="190"/>
        <v>35.095790864477152</v>
      </c>
      <c r="Z300" s="208">
        <f t="shared" si="195"/>
        <v>11.090268616165266</v>
      </c>
    </row>
    <row r="301" spans="1:26">
      <c r="A301" s="150">
        <v>1.74</v>
      </c>
      <c r="B301" s="151">
        <f t="shared" si="185"/>
        <v>1.6325586859629331</v>
      </c>
      <c r="C301" s="152">
        <f t="shared" si="176"/>
        <v>27.129915966386562</v>
      </c>
      <c r="D301" s="152">
        <f t="shared" si="177"/>
        <v>27.429915966386563</v>
      </c>
      <c r="E301" s="153">
        <f t="shared" si="178"/>
        <v>35.803902926292089</v>
      </c>
      <c r="F301" s="154">
        <f t="shared" si="170"/>
        <v>11.451153091848713</v>
      </c>
      <c r="G301" s="155">
        <f t="shared" si="179"/>
        <v>35.803902926292089</v>
      </c>
      <c r="H301" s="155">
        <f t="shared" si="171"/>
        <v>9.541863491487014</v>
      </c>
      <c r="I301" s="208">
        <f t="shared" si="186"/>
        <v>35.803902926292089</v>
      </c>
      <c r="J301" s="208">
        <f t="shared" ref="J301" si="205">0.5*$A$3*$B301*$B301*I301*0.001</f>
        <v>11.451153091848713</v>
      </c>
      <c r="K301" s="155">
        <f t="shared" si="181"/>
        <v>35.803902926292089</v>
      </c>
      <c r="L301" s="155">
        <f t="shared" si="172"/>
        <v>6.5991047698481955</v>
      </c>
      <c r="M301" s="208">
        <f t="shared" si="187"/>
        <v>35.803902926292089</v>
      </c>
      <c r="N301" s="208">
        <f t="shared" si="192"/>
        <v>11.451153091848713</v>
      </c>
      <c r="O301" s="155">
        <f t="shared" si="182"/>
        <v>35.803902926292089</v>
      </c>
      <c r="P301" s="155">
        <f t="shared" si="173"/>
        <v>6.2927777924183941</v>
      </c>
      <c r="Q301" s="208">
        <f t="shared" si="188"/>
        <v>35.803902926292089</v>
      </c>
      <c r="R301" s="208">
        <f t="shared" si="193"/>
        <v>11.451153091848713</v>
      </c>
      <c r="S301" s="155">
        <f t="shared" si="183"/>
        <v>35.803902926292089</v>
      </c>
      <c r="T301" s="155">
        <f t="shared" si="174"/>
        <v>5.9177218875372084</v>
      </c>
      <c r="U301" s="208">
        <f t="shared" si="189"/>
        <v>35.803902926292089</v>
      </c>
      <c r="V301" s="208">
        <f t="shared" si="194"/>
        <v>11.451153091848713</v>
      </c>
      <c r="W301" s="155">
        <f t="shared" si="184"/>
        <v>35.803902926292089</v>
      </c>
      <c r="X301" s="155">
        <f t="shared" si="175"/>
        <v>5.5653371392100031</v>
      </c>
      <c r="Y301" s="208">
        <f t="shared" si="190"/>
        <v>35.803902926292089</v>
      </c>
      <c r="Z301" s="208">
        <f t="shared" si="195"/>
        <v>11.451153091848713</v>
      </c>
    </row>
    <row r="302" spans="1:26">
      <c r="A302" s="150">
        <v>1.75</v>
      </c>
      <c r="B302" s="151">
        <f t="shared" si="185"/>
        <v>1.6423626075315605</v>
      </c>
      <c r="C302" s="152">
        <f t="shared" si="176"/>
        <v>26.566386554621854</v>
      </c>
      <c r="D302" s="152">
        <f t="shared" si="177"/>
        <v>26.866386554621855</v>
      </c>
      <c r="E302" s="153">
        <f t="shared" si="178"/>
        <v>36.54117791561751</v>
      </c>
      <c r="F302" s="154">
        <f t="shared" si="170"/>
        <v>11.827743188092837</v>
      </c>
      <c r="G302" s="155">
        <f t="shared" si="179"/>
        <v>36.54117791561751</v>
      </c>
      <c r="H302" s="155">
        <f t="shared" si="171"/>
        <v>9.5961621340209504</v>
      </c>
      <c r="I302" s="208">
        <f t="shared" si="186"/>
        <v>36.54117791561751</v>
      </c>
      <c r="J302" s="208">
        <f>0.5*Lm*$B302*$B302*I302*0.001</f>
        <v>11.827743188092837</v>
      </c>
      <c r="K302" s="155">
        <f t="shared" si="181"/>
        <v>36.54117791561751</v>
      </c>
      <c r="L302" s="155">
        <f t="shared" si="172"/>
        <v>6.6357314132372291</v>
      </c>
      <c r="M302" s="208">
        <f t="shared" si="187"/>
        <v>36.54117791561751</v>
      </c>
      <c r="N302" s="208">
        <f t="shared" si="192"/>
        <v>11.827743188092837</v>
      </c>
      <c r="O302" s="155">
        <f t="shared" si="182"/>
        <v>36.54117791561751</v>
      </c>
      <c r="P302" s="155">
        <f t="shared" si="173"/>
        <v>6.3275648660039661</v>
      </c>
      <c r="Q302" s="208">
        <f t="shared" si="188"/>
        <v>36.54117791561751</v>
      </c>
      <c r="R302" s="208">
        <f t="shared" si="193"/>
        <v>11.827743188092837</v>
      </c>
      <c r="S302" s="155">
        <f t="shared" si="183"/>
        <v>36.54117791561751</v>
      </c>
      <c r="T302" s="155">
        <f t="shared" si="174"/>
        <v>5.9502566569900583</v>
      </c>
      <c r="U302" s="208">
        <f t="shared" si="189"/>
        <v>36.54117791561751</v>
      </c>
      <c r="V302" s="208">
        <f t="shared" si="194"/>
        <v>11.827743188092837</v>
      </c>
      <c r="W302" s="155">
        <f t="shared" si="184"/>
        <v>36.54117791561751</v>
      </c>
      <c r="X302" s="155">
        <f t="shared" si="175"/>
        <v>5.5957557504724695</v>
      </c>
      <c r="Y302" s="208">
        <f t="shared" si="190"/>
        <v>36.54117791561751</v>
      </c>
      <c r="Z302" s="208">
        <f t="shared" si="195"/>
        <v>11.827743188092837</v>
      </c>
    </row>
    <row r="303" spans="1:26">
      <c r="A303" s="150">
        <v>1.76</v>
      </c>
      <c r="B303" s="151">
        <f t="shared" si="185"/>
        <v>1.6521665291001881</v>
      </c>
      <c r="C303" s="152">
        <f t="shared" si="176"/>
        <v>26.002857142857145</v>
      </c>
      <c r="D303" s="152">
        <f t="shared" si="177"/>
        <v>26.302857142857146</v>
      </c>
      <c r="E303" s="153">
        <f t="shared" si="178"/>
        <v>37.309455281952879</v>
      </c>
      <c r="F303" s="154">
        <f t="shared" si="170"/>
        <v>12.221029535754868</v>
      </c>
      <c r="G303" s="155">
        <f t="shared" si="179"/>
        <v>37.309455281952879</v>
      </c>
      <c r="H303" s="155">
        <f t="shared" si="171"/>
        <v>9.6504607765548887</v>
      </c>
      <c r="I303" s="208">
        <f t="shared" si="186"/>
        <v>37.309455281952879</v>
      </c>
      <c r="J303" s="208">
        <f t="shared" ref="J303" si="206">0.5*$A$3*$B303*$B303*I303*0.001</f>
        <v>12.221029535754868</v>
      </c>
      <c r="K303" s="155">
        <f t="shared" si="181"/>
        <v>37.309455281952879</v>
      </c>
      <c r="L303" s="155">
        <f t="shared" si="172"/>
        <v>6.6723580566262637</v>
      </c>
      <c r="M303" s="208">
        <f t="shared" si="187"/>
        <v>37.309455281952879</v>
      </c>
      <c r="N303" s="208">
        <f t="shared" si="192"/>
        <v>12.221029535754868</v>
      </c>
      <c r="O303" s="155">
        <f t="shared" si="182"/>
        <v>37.309455281952879</v>
      </c>
      <c r="P303" s="155">
        <f t="shared" si="173"/>
        <v>6.362351939589538</v>
      </c>
      <c r="Q303" s="208">
        <f t="shared" si="188"/>
        <v>37.309455281952879</v>
      </c>
      <c r="R303" s="208">
        <f t="shared" si="193"/>
        <v>12.221029535754868</v>
      </c>
      <c r="S303" s="155">
        <f t="shared" si="183"/>
        <v>37.309455281952879</v>
      </c>
      <c r="T303" s="155">
        <f t="shared" si="174"/>
        <v>5.9827914264429083</v>
      </c>
      <c r="U303" s="208">
        <f t="shared" si="189"/>
        <v>37.309455281952879</v>
      </c>
      <c r="V303" s="208">
        <f t="shared" si="194"/>
        <v>12.221029535754868</v>
      </c>
      <c r="W303" s="155">
        <f t="shared" si="184"/>
        <v>37.309455281952879</v>
      </c>
      <c r="X303" s="155">
        <f t="shared" si="175"/>
        <v>5.6261743617349378</v>
      </c>
      <c r="Y303" s="208">
        <f t="shared" si="190"/>
        <v>37.309455281952879</v>
      </c>
      <c r="Z303" s="208">
        <f t="shared" si="195"/>
        <v>12.221029535754868</v>
      </c>
    </row>
    <row r="304" spans="1:26">
      <c r="A304" s="150">
        <v>1.77</v>
      </c>
      <c r="B304" s="151">
        <f t="shared" si="185"/>
        <v>1.6619704506688153</v>
      </c>
      <c r="C304" s="152">
        <f t="shared" si="176"/>
        <v>25.43932773109244</v>
      </c>
      <c r="D304" s="152">
        <f t="shared" si="177"/>
        <v>25.739327731092441</v>
      </c>
      <c r="E304" s="153">
        <f t="shared" si="178"/>
        <v>38.11073249468371</v>
      </c>
      <c r="F304" s="154">
        <f t="shared" si="170"/>
        <v>12.632087866900424</v>
      </c>
      <c r="G304" s="155">
        <f t="shared" si="179"/>
        <v>38.11073249468371</v>
      </c>
      <c r="H304" s="155">
        <f t="shared" si="171"/>
        <v>9.7047594190888233</v>
      </c>
      <c r="I304" s="208">
        <f t="shared" si="186"/>
        <v>38.11073249468371</v>
      </c>
      <c r="J304" s="208">
        <f>0.5*Lm*$B304*$B304*I304*0.001</f>
        <v>12.632087866900424</v>
      </c>
      <c r="K304" s="155">
        <f t="shared" si="181"/>
        <v>38.11073249468371</v>
      </c>
      <c r="L304" s="155">
        <f t="shared" si="172"/>
        <v>6.7089847000152956</v>
      </c>
      <c r="M304" s="208">
        <f t="shared" si="187"/>
        <v>38.11073249468371</v>
      </c>
      <c r="N304" s="208">
        <f t="shared" si="192"/>
        <v>12.632087866900424</v>
      </c>
      <c r="O304" s="155">
        <f t="shared" si="182"/>
        <v>38.11073249468371</v>
      </c>
      <c r="P304" s="155">
        <f t="shared" si="173"/>
        <v>6.3971390131751091</v>
      </c>
      <c r="Q304" s="208">
        <f t="shared" si="188"/>
        <v>38.11073249468371</v>
      </c>
      <c r="R304" s="208">
        <f t="shared" si="193"/>
        <v>12.632087866900424</v>
      </c>
      <c r="S304" s="155">
        <f t="shared" si="183"/>
        <v>38.11073249468371</v>
      </c>
      <c r="T304" s="155">
        <f t="shared" si="174"/>
        <v>6.0153261958957573</v>
      </c>
      <c r="U304" s="208">
        <f t="shared" si="189"/>
        <v>38.11073249468371</v>
      </c>
      <c r="V304" s="208">
        <f t="shared" si="194"/>
        <v>12.632087866900424</v>
      </c>
      <c r="W304" s="155">
        <f t="shared" si="184"/>
        <v>38.11073249468371</v>
      </c>
      <c r="X304" s="155">
        <f t="shared" si="175"/>
        <v>5.6565929729974034</v>
      </c>
      <c r="Y304" s="208">
        <f t="shared" si="190"/>
        <v>38.11073249468371</v>
      </c>
      <c r="Z304" s="208">
        <f t="shared" si="195"/>
        <v>12.632087866900424</v>
      </c>
    </row>
    <row r="305" spans="1:26">
      <c r="A305" s="150">
        <v>1.78</v>
      </c>
      <c r="B305" s="151">
        <f t="shared" si="185"/>
        <v>1.6717743722374427</v>
      </c>
      <c r="C305" s="152">
        <f t="shared" si="176"/>
        <v>24.875798319327735</v>
      </c>
      <c r="D305" s="152">
        <f t="shared" si="177"/>
        <v>25.175798319327736</v>
      </c>
      <c r="E305" s="153">
        <f t="shared" si="178"/>
        <v>38.947182384091214</v>
      </c>
      <c r="F305" s="154">
        <f t="shared" si="170"/>
        <v>13.062088353760236</v>
      </c>
      <c r="G305" s="155">
        <f t="shared" si="179"/>
        <v>38.947182384091214</v>
      </c>
      <c r="H305" s="155">
        <f t="shared" si="171"/>
        <v>9.7590580616227598</v>
      </c>
      <c r="I305" s="208">
        <f t="shared" si="186"/>
        <v>38.947182384091214</v>
      </c>
      <c r="J305" s="208">
        <f t="shared" ref="J305" si="207">0.5*$A$3*$B305*$B305*I305*0.001</f>
        <v>13.062088353760236</v>
      </c>
      <c r="K305" s="155">
        <f t="shared" si="181"/>
        <v>38.947182384091214</v>
      </c>
      <c r="L305" s="155">
        <f t="shared" si="172"/>
        <v>6.7456113434043292</v>
      </c>
      <c r="M305" s="208">
        <f t="shared" si="187"/>
        <v>38.947182384091214</v>
      </c>
      <c r="N305" s="208">
        <f t="shared" si="192"/>
        <v>13.062088353760236</v>
      </c>
      <c r="O305" s="155">
        <f t="shared" si="182"/>
        <v>38.947182384091214</v>
      </c>
      <c r="P305" s="155">
        <f t="shared" si="173"/>
        <v>6.4319260867606811</v>
      </c>
      <c r="Q305" s="208">
        <f t="shared" si="188"/>
        <v>38.947182384091214</v>
      </c>
      <c r="R305" s="208">
        <f t="shared" si="193"/>
        <v>13.062088353760236</v>
      </c>
      <c r="S305" s="155">
        <f t="shared" si="183"/>
        <v>38.947182384091214</v>
      </c>
      <c r="T305" s="155">
        <f t="shared" si="174"/>
        <v>6.0478609653486064</v>
      </c>
      <c r="U305" s="208">
        <f t="shared" si="189"/>
        <v>38.947182384091214</v>
      </c>
      <c r="V305" s="208">
        <f t="shared" si="194"/>
        <v>13.062088353760236</v>
      </c>
      <c r="W305" s="155">
        <f t="shared" si="184"/>
        <v>38.947182384091214</v>
      </c>
      <c r="X305" s="155">
        <f t="shared" si="175"/>
        <v>5.6870115842598707</v>
      </c>
      <c r="Y305" s="208">
        <f t="shared" si="190"/>
        <v>38.947182384091214</v>
      </c>
      <c r="Z305" s="208">
        <f t="shared" si="195"/>
        <v>13.062088353760236</v>
      </c>
    </row>
    <row r="306" spans="1:26">
      <c r="A306" s="150">
        <v>1.79</v>
      </c>
      <c r="B306" s="151">
        <f t="shared" si="185"/>
        <v>1.6815782938060704</v>
      </c>
      <c r="C306" s="152">
        <f t="shared" si="176"/>
        <v>24.312268907563027</v>
      </c>
      <c r="D306" s="152">
        <f t="shared" si="177"/>
        <v>24.612268907563028</v>
      </c>
      <c r="E306" s="153">
        <f t="shared" si="178"/>
        <v>39.821172817197386</v>
      </c>
      <c r="F306" s="154">
        <f t="shared" si="170"/>
        <v>13.512306205106551</v>
      </c>
      <c r="G306" s="155">
        <f t="shared" si="179"/>
        <v>39.821172817197386</v>
      </c>
      <c r="H306" s="155">
        <f t="shared" si="171"/>
        <v>9.813356704156698</v>
      </c>
      <c r="I306" s="208">
        <f t="shared" si="186"/>
        <v>39.821172817197386</v>
      </c>
      <c r="J306" s="208">
        <f>0.5*Lm*$B306*$B306*I306*0.001</f>
        <v>13.512306205106551</v>
      </c>
      <c r="K306" s="155">
        <f t="shared" si="181"/>
        <v>39.821172817197386</v>
      </c>
      <c r="L306" s="155">
        <f t="shared" si="172"/>
        <v>6.7822379867933629</v>
      </c>
      <c r="M306" s="208">
        <f t="shared" si="187"/>
        <v>39.821172817197386</v>
      </c>
      <c r="N306" s="208">
        <f t="shared" si="192"/>
        <v>13.512306205106551</v>
      </c>
      <c r="O306" s="155">
        <f t="shared" si="182"/>
        <v>39.821172817197386</v>
      </c>
      <c r="P306" s="155">
        <f t="shared" si="173"/>
        <v>6.4667131603462531</v>
      </c>
      <c r="Q306" s="208">
        <f t="shared" si="188"/>
        <v>39.821172817197386</v>
      </c>
      <c r="R306" s="208">
        <f t="shared" si="193"/>
        <v>13.512306205106551</v>
      </c>
      <c r="S306" s="155">
        <f t="shared" si="183"/>
        <v>39.821172817197386</v>
      </c>
      <c r="T306" s="155">
        <f t="shared" si="174"/>
        <v>6.0803957348014563</v>
      </c>
      <c r="U306" s="208">
        <f t="shared" si="189"/>
        <v>39.821172817197386</v>
      </c>
      <c r="V306" s="208">
        <f t="shared" si="194"/>
        <v>13.512306205106551</v>
      </c>
      <c r="W306" s="155">
        <f t="shared" si="184"/>
        <v>39.821172817197386</v>
      </c>
      <c r="X306" s="155">
        <f t="shared" si="175"/>
        <v>5.7174301955223381</v>
      </c>
      <c r="Y306" s="208">
        <f t="shared" si="190"/>
        <v>39.821172817197386</v>
      </c>
      <c r="Z306" s="208">
        <f t="shared" si="195"/>
        <v>13.512306205106551</v>
      </c>
    </row>
    <row r="307" spans="1:26">
      <c r="A307" s="150">
        <v>1.8</v>
      </c>
      <c r="B307" s="151">
        <f t="shared" si="185"/>
        <v>1.6913822153746978</v>
      </c>
      <c r="C307" s="152">
        <f t="shared" si="176"/>
        <v>23.748739495798322</v>
      </c>
      <c r="D307" s="152">
        <f t="shared" si="177"/>
        <v>24.048739495798323</v>
      </c>
      <c r="E307" s="153">
        <f t="shared" si="178"/>
        <v>40.735289083627144</v>
      </c>
      <c r="F307" s="154">
        <f t="shared" si="170"/>
        <v>13.984133722102321</v>
      </c>
      <c r="G307" s="155">
        <f t="shared" si="179"/>
        <v>40.735289083627144</v>
      </c>
      <c r="H307" s="155">
        <f t="shared" si="171"/>
        <v>9.8676553466906345</v>
      </c>
      <c r="I307" s="208">
        <f t="shared" si="186"/>
        <v>40.735289083627144</v>
      </c>
      <c r="J307" s="208">
        <f t="shared" ref="J307" si="208">0.5*$A$3*$B307*$B307*I307*0.001</f>
        <v>13.984133722102321</v>
      </c>
      <c r="K307" s="155">
        <f t="shared" si="181"/>
        <v>40.735289083627144</v>
      </c>
      <c r="L307" s="155">
        <f t="shared" si="172"/>
        <v>6.8188646301823965</v>
      </c>
      <c r="M307" s="208">
        <f t="shared" si="187"/>
        <v>40.735289083627144</v>
      </c>
      <c r="N307" s="208">
        <f t="shared" si="192"/>
        <v>13.984133722102321</v>
      </c>
      <c r="O307" s="155">
        <f t="shared" si="182"/>
        <v>40.735289083627144</v>
      </c>
      <c r="P307" s="155">
        <f t="shared" si="173"/>
        <v>6.5015002339318251</v>
      </c>
      <c r="Q307" s="208">
        <f t="shared" si="188"/>
        <v>40.735289083627144</v>
      </c>
      <c r="R307" s="208">
        <f t="shared" si="193"/>
        <v>13.984133722102321</v>
      </c>
      <c r="S307" s="155">
        <f t="shared" si="183"/>
        <v>40.735289083627144</v>
      </c>
      <c r="T307" s="155">
        <f t="shared" si="174"/>
        <v>6.1129305042543063</v>
      </c>
      <c r="U307" s="208">
        <f t="shared" si="189"/>
        <v>40.735289083627144</v>
      </c>
      <c r="V307" s="208">
        <f t="shared" si="194"/>
        <v>13.984133722102321</v>
      </c>
      <c r="W307" s="155">
        <f t="shared" si="184"/>
        <v>40.735289083627144</v>
      </c>
      <c r="X307" s="155">
        <f t="shared" si="175"/>
        <v>5.7478488067848055</v>
      </c>
      <c r="Y307" s="208">
        <f t="shared" si="190"/>
        <v>40.735289083627144</v>
      </c>
      <c r="Z307" s="208">
        <f t="shared" si="195"/>
        <v>13.984133722102321</v>
      </c>
    </row>
    <row r="308" spans="1:26">
      <c r="A308" s="150">
        <v>1.81</v>
      </c>
      <c r="B308" s="151">
        <f t="shared" si="185"/>
        <v>1.7011861369433252</v>
      </c>
      <c r="C308" s="152">
        <f t="shared" si="176"/>
        <v>23.185210084033617</v>
      </c>
      <c r="D308" s="152">
        <f t="shared" si="177"/>
        <v>23.485210084033618</v>
      </c>
      <c r="E308" s="153">
        <f t="shared" si="178"/>
        <v>41.692359437188173</v>
      </c>
      <c r="F308" s="154">
        <f t="shared" si="170"/>
        <v>14.479094053654226</v>
      </c>
      <c r="G308" s="155">
        <f t="shared" si="179"/>
        <v>41.692359437188173</v>
      </c>
      <c r="H308" s="155">
        <f t="shared" si="171"/>
        <v>9.9219539892245709</v>
      </c>
      <c r="I308" s="208">
        <f t="shared" si="186"/>
        <v>41.692359437188173</v>
      </c>
      <c r="J308" s="208">
        <f>0.5*Lm*$B308*$B308*I308*0.001</f>
        <v>14.479094053654226</v>
      </c>
      <c r="K308" s="155">
        <f t="shared" si="181"/>
        <v>41.692359437188173</v>
      </c>
      <c r="L308" s="155">
        <f t="shared" si="172"/>
        <v>6.8554912735714293</v>
      </c>
      <c r="M308" s="208">
        <f t="shared" si="187"/>
        <v>41.692359437188173</v>
      </c>
      <c r="N308" s="208">
        <f t="shared" si="192"/>
        <v>14.479094053654226</v>
      </c>
      <c r="O308" s="155">
        <f t="shared" si="182"/>
        <v>41.692359437188173</v>
      </c>
      <c r="P308" s="155">
        <f t="shared" si="173"/>
        <v>6.5362873075173962</v>
      </c>
      <c r="Q308" s="208">
        <f t="shared" si="188"/>
        <v>41.692359437188173</v>
      </c>
      <c r="R308" s="208">
        <f t="shared" si="193"/>
        <v>14.479094053654226</v>
      </c>
      <c r="S308" s="155">
        <f t="shared" si="183"/>
        <v>41.692359437188173</v>
      </c>
      <c r="T308" s="155">
        <f t="shared" si="174"/>
        <v>6.1454652737071562</v>
      </c>
      <c r="U308" s="208">
        <f t="shared" si="189"/>
        <v>41.692359437188173</v>
      </c>
      <c r="V308" s="208">
        <f t="shared" si="194"/>
        <v>14.479094053654226</v>
      </c>
      <c r="W308" s="155">
        <f t="shared" si="184"/>
        <v>41.692359437188173</v>
      </c>
      <c r="X308" s="155">
        <f t="shared" si="175"/>
        <v>5.7782674180472728</v>
      </c>
      <c r="Y308" s="208">
        <f t="shared" si="190"/>
        <v>41.692359437188173</v>
      </c>
      <c r="Z308" s="208">
        <f t="shared" si="195"/>
        <v>14.479094053654226</v>
      </c>
    </row>
    <row r="309" spans="1:26">
      <c r="A309" s="150">
        <v>1.82</v>
      </c>
      <c r="B309" s="151">
        <f t="shared" si="185"/>
        <v>1.7109900585119528</v>
      </c>
      <c r="C309" s="152">
        <f t="shared" si="176"/>
        <v>22.621680672268909</v>
      </c>
      <c r="D309" s="152">
        <f t="shared" si="177"/>
        <v>22.921680672268909</v>
      </c>
      <c r="E309" s="153">
        <f t="shared" si="178"/>
        <v>42.695484324657897</v>
      </c>
      <c r="F309" s="154">
        <f t="shared" si="170"/>
        <v>14.998856937501628</v>
      </c>
      <c r="G309" s="155">
        <f t="shared" si="179"/>
        <v>42.695484324657897</v>
      </c>
      <c r="H309" s="155">
        <f t="shared" si="171"/>
        <v>9.9762526317585092</v>
      </c>
      <c r="I309" s="208">
        <f t="shared" si="186"/>
        <v>42.695484324657897</v>
      </c>
      <c r="J309" s="208">
        <f t="shared" ref="J309" si="209">0.5*$A$3*$B309*$B309*I309*0.001</f>
        <v>14.998856937501628</v>
      </c>
      <c r="K309" s="155">
        <f t="shared" si="181"/>
        <v>42.695484324657897</v>
      </c>
      <c r="L309" s="155">
        <f t="shared" si="172"/>
        <v>6.8921179169604638</v>
      </c>
      <c r="M309" s="208">
        <f t="shared" si="187"/>
        <v>42.695484324657897</v>
      </c>
      <c r="N309" s="208">
        <f t="shared" si="192"/>
        <v>14.998856937501628</v>
      </c>
      <c r="O309" s="155">
        <f t="shared" si="182"/>
        <v>42.695484324657897</v>
      </c>
      <c r="P309" s="155">
        <f t="shared" si="173"/>
        <v>6.571074381102969</v>
      </c>
      <c r="Q309" s="208">
        <f t="shared" si="188"/>
        <v>42.695484324657897</v>
      </c>
      <c r="R309" s="208">
        <f t="shared" si="193"/>
        <v>14.998856937501628</v>
      </c>
      <c r="S309" s="155">
        <f t="shared" si="183"/>
        <v>42.695484324657897</v>
      </c>
      <c r="T309" s="155">
        <f t="shared" si="174"/>
        <v>6.1780000431600062</v>
      </c>
      <c r="U309" s="208">
        <f t="shared" si="189"/>
        <v>42.695484324657897</v>
      </c>
      <c r="V309" s="208">
        <f t="shared" si="194"/>
        <v>14.998856937501628</v>
      </c>
      <c r="W309" s="155">
        <f t="shared" si="184"/>
        <v>42.695484324657897</v>
      </c>
      <c r="X309" s="155">
        <f t="shared" si="175"/>
        <v>5.8086860293097402</v>
      </c>
      <c r="Y309" s="208">
        <f t="shared" si="190"/>
        <v>42.695484324657897</v>
      </c>
      <c r="Z309" s="208">
        <f t="shared" si="195"/>
        <v>14.998856937501628</v>
      </c>
    </row>
    <row r="310" spans="1:26">
      <c r="A310" s="150">
        <v>1.83</v>
      </c>
      <c r="B310" s="151">
        <f t="shared" si="185"/>
        <v>1.7207939800805803</v>
      </c>
      <c r="C310" s="152">
        <f t="shared" si="176"/>
        <v>22.058151260504204</v>
      </c>
      <c r="D310" s="152">
        <f t="shared" si="177"/>
        <v>22.358151260504204</v>
      </c>
      <c r="E310" s="153">
        <f t="shared" si="178"/>
        <v>43.748069938090964</v>
      </c>
      <c r="F310" s="154">
        <f t="shared" ref="F310:F341" si="210">(0.5*Lm*$B310*$B310*$E310*0.001)</f>
        <v>15.545256769726608</v>
      </c>
      <c r="G310" s="155">
        <f t="shared" si="179"/>
        <v>43.748069938090964</v>
      </c>
      <c r="H310" s="155">
        <f t="shared" ref="H310:H341" si="211">($B310*Lm/G$211)+($B310*Lm/VOR)+0.5</f>
        <v>10.030551274292446</v>
      </c>
      <c r="I310" s="208">
        <f t="shared" si="186"/>
        <v>43.748069938090964</v>
      </c>
      <c r="J310" s="208">
        <f>0.5*Lm*$B310*$B310*I310*0.001</f>
        <v>15.545256769726608</v>
      </c>
      <c r="K310" s="155">
        <f t="shared" si="181"/>
        <v>43.748069938090964</v>
      </c>
      <c r="L310" s="155">
        <f t="shared" ref="L310:L341" si="212">($B310*Lm/L$211)+($B310*Lm/VOR)+0.5</f>
        <v>6.9287445603494966</v>
      </c>
      <c r="M310" s="208">
        <f t="shared" si="187"/>
        <v>43.748069938090964</v>
      </c>
      <c r="N310" s="208">
        <f t="shared" si="192"/>
        <v>15.545256769726608</v>
      </c>
      <c r="O310" s="155">
        <f t="shared" si="182"/>
        <v>43.748069938090964</v>
      </c>
      <c r="P310" s="155">
        <f t="shared" ref="P310:P341" si="213">($B310*Lm/P$211)+($B310*Lm/VOR)+0.5</f>
        <v>6.6058614546885401</v>
      </c>
      <c r="Q310" s="208">
        <f t="shared" si="188"/>
        <v>43.748069938090964</v>
      </c>
      <c r="R310" s="208">
        <f t="shared" si="193"/>
        <v>15.545256769726608</v>
      </c>
      <c r="S310" s="155">
        <f t="shared" si="183"/>
        <v>43.748069938090964</v>
      </c>
      <c r="T310" s="155">
        <f t="shared" ref="T310:T341" si="214">($B310*Lm/T$211)+($B310*Lm/VOR)+0.5</f>
        <v>6.2105348126128561</v>
      </c>
      <c r="U310" s="208">
        <f t="shared" si="189"/>
        <v>43.748069938090964</v>
      </c>
      <c r="V310" s="208">
        <f t="shared" si="194"/>
        <v>15.545256769726608</v>
      </c>
      <c r="W310" s="155">
        <f t="shared" si="184"/>
        <v>43.748069938090964</v>
      </c>
      <c r="X310" s="155">
        <f t="shared" ref="X310:X341" si="215">($B310*Lm/X$211)+($B310*Lm/VOR)+0.5</f>
        <v>5.8391046405722076</v>
      </c>
      <c r="Y310" s="208">
        <f t="shared" si="190"/>
        <v>43.748069938090964</v>
      </c>
      <c r="Z310" s="208">
        <f t="shared" si="195"/>
        <v>15.545256769726608</v>
      </c>
    </row>
    <row r="311" spans="1:26">
      <c r="A311" s="150">
        <v>1.84</v>
      </c>
      <c r="B311" s="151">
        <f t="shared" si="185"/>
        <v>1.7305979016492075</v>
      </c>
      <c r="C311" s="152">
        <f t="shared" si="176"/>
        <v>21.494621848739495</v>
      </c>
      <c r="D311" s="152">
        <f t="shared" si="177"/>
        <v>21.794621848739496</v>
      </c>
      <c r="E311" s="153">
        <f t="shared" si="178"/>
        <v>44.853866855630855</v>
      </c>
      <c r="F311" s="154">
        <f t="shared" si="210"/>
        <v>16.120313414664913</v>
      </c>
      <c r="G311" s="155">
        <f t="shared" si="179"/>
        <v>44.853866855630855</v>
      </c>
      <c r="H311" s="155">
        <f t="shared" si="211"/>
        <v>10.08484991682638</v>
      </c>
      <c r="I311" s="208">
        <f t="shared" si="186"/>
        <v>44.853866855630855</v>
      </c>
      <c r="J311" s="208">
        <f t="shared" ref="J311" si="216">0.5*$A$3*$B311*$B311*I311*0.001</f>
        <v>16.120313414664913</v>
      </c>
      <c r="K311" s="155">
        <f t="shared" si="181"/>
        <v>44.853866855630855</v>
      </c>
      <c r="L311" s="155">
        <f t="shared" si="212"/>
        <v>6.9653712037385294</v>
      </c>
      <c r="M311" s="208">
        <f t="shared" si="187"/>
        <v>44.853866855630855</v>
      </c>
      <c r="N311" s="208">
        <f t="shared" si="192"/>
        <v>16.120313414664913</v>
      </c>
      <c r="O311" s="155">
        <f t="shared" si="182"/>
        <v>44.853866855630855</v>
      </c>
      <c r="P311" s="155">
        <f t="shared" si="213"/>
        <v>6.6406485282741112</v>
      </c>
      <c r="Q311" s="208">
        <f t="shared" si="188"/>
        <v>44.853866855630855</v>
      </c>
      <c r="R311" s="208">
        <f t="shared" si="193"/>
        <v>16.120313414664913</v>
      </c>
      <c r="S311" s="155">
        <f t="shared" si="183"/>
        <v>44.853866855630855</v>
      </c>
      <c r="T311" s="155">
        <f t="shared" si="214"/>
        <v>6.2430695820657043</v>
      </c>
      <c r="U311" s="208">
        <f t="shared" si="189"/>
        <v>44.853866855630855</v>
      </c>
      <c r="V311" s="208">
        <f t="shared" si="194"/>
        <v>16.120313414664913</v>
      </c>
      <c r="W311" s="155">
        <f t="shared" si="184"/>
        <v>44.853866855630855</v>
      </c>
      <c r="X311" s="155">
        <f t="shared" si="215"/>
        <v>5.8695232518346732</v>
      </c>
      <c r="Y311" s="208">
        <f t="shared" si="190"/>
        <v>44.853866855630855</v>
      </c>
      <c r="Z311" s="208">
        <f t="shared" si="195"/>
        <v>16.120313414664913</v>
      </c>
    </row>
    <row r="312" spans="1:26">
      <c r="A312" s="150">
        <v>1.85</v>
      </c>
      <c r="B312" s="151">
        <f t="shared" si="185"/>
        <v>1.7404018232178351</v>
      </c>
      <c r="C312" s="152">
        <f t="shared" si="176"/>
        <v>20.931092436974783</v>
      </c>
      <c r="D312" s="152">
        <f t="shared" si="177"/>
        <v>21.231092436974784</v>
      </c>
      <c r="E312" s="153">
        <f t="shared" si="178"/>
        <v>46.017014694508909</v>
      </c>
      <c r="F312" s="154">
        <f t="shared" si="210"/>
        <v>16.726256252665241</v>
      </c>
      <c r="G312" s="155">
        <f t="shared" si="179"/>
        <v>46.017014694508909</v>
      </c>
      <c r="H312" s="155">
        <f t="shared" si="211"/>
        <v>10.139148559360319</v>
      </c>
      <c r="I312" s="208">
        <f t="shared" si="186"/>
        <v>46.017014694508909</v>
      </c>
      <c r="J312" s="208">
        <f>0.5*Lm*$B312*$B312*I312*0.001</f>
        <v>16.726256252665241</v>
      </c>
      <c r="K312" s="155">
        <f t="shared" si="181"/>
        <v>46.017014694508909</v>
      </c>
      <c r="L312" s="155">
        <f t="shared" si="212"/>
        <v>7.0019978471275639</v>
      </c>
      <c r="M312" s="208">
        <f t="shared" si="187"/>
        <v>46.017014694508909</v>
      </c>
      <c r="N312" s="208">
        <f t="shared" si="192"/>
        <v>16.726256252665241</v>
      </c>
      <c r="O312" s="155">
        <f t="shared" si="182"/>
        <v>46.017014694508909</v>
      </c>
      <c r="P312" s="155">
        <f t="shared" si="213"/>
        <v>6.6754356018596841</v>
      </c>
      <c r="Q312" s="208">
        <f t="shared" si="188"/>
        <v>46.017014694508909</v>
      </c>
      <c r="R312" s="208">
        <f t="shared" si="193"/>
        <v>16.726256252665241</v>
      </c>
      <c r="S312" s="155">
        <f t="shared" si="183"/>
        <v>46.017014694508909</v>
      </c>
      <c r="T312" s="155">
        <f t="shared" si="214"/>
        <v>6.2756043515185542</v>
      </c>
      <c r="U312" s="208">
        <f t="shared" si="189"/>
        <v>46.017014694508909</v>
      </c>
      <c r="V312" s="208">
        <f t="shared" si="194"/>
        <v>16.726256252665241</v>
      </c>
      <c r="W312" s="155">
        <f t="shared" si="184"/>
        <v>46.017014694508909</v>
      </c>
      <c r="X312" s="155">
        <f t="shared" si="215"/>
        <v>5.8999418630971414</v>
      </c>
      <c r="Y312" s="208">
        <f t="shared" si="190"/>
        <v>46.017014694508909</v>
      </c>
      <c r="Z312" s="208">
        <f t="shared" si="195"/>
        <v>16.726256252665241</v>
      </c>
    </row>
    <row r="313" spans="1:26">
      <c r="A313" s="150">
        <v>1.86</v>
      </c>
      <c r="B313" s="151">
        <f t="shared" si="185"/>
        <v>1.7502057447864625</v>
      </c>
      <c r="C313" s="152">
        <f t="shared" si="176"/>
        <v>20.367563025210085</v>
      </c>
      <c r="D313" s="152">
        <f t="shared" si="177"/>
        <v>20.667563025210086</v>
      </c>
      <c r="E313" s="153">
        <f t="shared" si="178"/>
        <v>47.242093896639055</v>
      </c>
      <c r="F313" s="154">
        <f t="shared" si="210"/>
        <v>17.365552069089734</v>
      </c>
      <c r="G313" s="155">
        <f t="shared" si="179"/>
        <v>47.242093896639055</v>
      </c>
      <c r="H313" s="155">
        <f t="shared" si="211"/>
        <v>10.193447201894255</v>
      </c>
      <c r="I313" s="208">
        <f t="shared" si="186"/>
        <v>47.242093896639055</v>
      </c>
      <c r="J313" s="208">
        <f t="shared" ref="J313" si="217">0.5*$A$3*$B313*$B313*I313*0.001</f>
        <v>17.365552069089734</v>
      </c>
      <c r="K313" s="155">
        <f t="shared" si="181"/>
        <v>47.242093896639055</v>
      </c>
      <c r="L313" s="155">
        <f t="shared" si="212"/>
        <v>7.0386244905165967</v>
      </c>
      <c r="M313" s="208">
        <f t="shared" si="187"/>
        <v>47.242093896639055</v>
      </c>
      <c r="N313" s="208">
        <f t="shared" si="192"/>
        <v>17.365552069089734</v>
      </c>
      <c r="O313" s="155">
        <f t="shared" si="182"/>
        <v>47.242093896639055</v>
      </c>
      <c r="P313" s="155">
        <f t="shared" si="213"/>
        <v>6.7102226754452552</v>
      </c>
      <c r="Q313" s="208">
        <f t="shared" si="188"/>
        <v>47.242093896639055</v>
      </c>
      <c r="R313" s="208">
        <f t="shared" si="193"/>
        <v>17.365552069089734</v>
      </c>
      <c r="S313" s="155">
        <f t="shared" si="183"/>
        <v>47.242093896639055</v>
      </c>
      <c r="T313" s="155">
        <f t="shared" si="214"/>
        <v>6.3081391209714042</v>
      </c>
      <c r="U313" s="208">
        <f t="shared" si="189"/>
        <v>47.242093896639055</v>
      </c>
      <c r="V313" s="208">
        <f t="shared" si="194"/>
        <v>17.365552069089734</v>
      </c>
      <c r="W313" s="155">
        <f t="shared" si="184"/>
        <v>47.242093896639055</v>
      </c>
      <c r="X313" s="155">
        <f t="shared" si="215"/>
        <v>5.9303604743596079</v>
      </c>
      <c r="Y313" s="208">
        <f t="shared" si="190"/>
        <v>47.242093896639055</v>
      </c>
      <c r="Z313" s="208">
        <f t="shared" si="195"/>
        <v>17.365552069089734</v>
      </c>
    </row>
    <row r="314" spans="1:26">
      <c r="A314" s="150">
        <v>1.87</v>
      </c>
      <c r="B314" s="151">
        <f t="shared" si="185"/>
        <v>1.7600096663550899</v>
      </c>
      <c r="C314" s="152">
        <f t="shared" si="176"/>
        <v>19.804033613445377</v>
      </c>
      <c r="D314" s="152">
        <f t="shared" si="177"/>
        <v>20.104033613445377</v>
      </c>
      <c r="E314" s="153">
        <f t="shared" si="178"/>
        <v>48.534186012366021</v>
      </c>
      <c r="F314" s="154">
        <f t="shared" si="210"/>
        <v>18.040937519973536</v>
      </c>
      <c r="G314" s="155">
        <f t="shared" si="179"/>
        <v>48.534186012366021</v>
      </c>
      <c r="H314" s="155">
        <f t="shared" si="211"/>
        <v>10.247745844428191</v>
      </c>
      <c r="I314" s="208">
        <f t="shared" si="186"/>
        <v>48.534186012366021</v>
      </c>
      <c r="J314" s="208">
        <f>0.5*Lm*$B314*$B314*I314*0.001</f>
        <v>18.040937519973536</v>
      </c>
      <c r="K314" s="155">
        <f t="shared" si="181"/>
        <v>48.534186012366021</v>
      </c>
      <c r="L314" s="155">
        <f t="shared" si="212"/>
        <v>7.0752511339056294</v>
      </c>
      <c r="M314" s="208">
        <f t="shared" si="187"/>
        <v>48.534186012366021</v>
      </c>
      <c r="N314" s="208">
        <f t="shared" si="192"/>
        <v>18.040937519973536</v>
      </c>
      <c r="O314" s="155">
        <f t="shared" si="182"/>
        <v>48.534186012366021</v>
      </c>
      <c r="P314" s="155">
        <f t="shared" si="213"/>
        <v>6.7450097490308263</v>
      </c>
      <c r="Q314" s="208">
        <f t="shared" si="188"/>
        <v>48.534186012366021</v>
      </c>
      <c r="R314" s="208">
        <f t="shared" si="193"/>
        <v>18.040937519973536</v>
      </c>
      <c r="S314" s="155">
        <f t="shared" si="183"/>
        <v>48.534186012366021</v>
      </c>
      <c r="T314" s="155">
        <f t="shared" si="214"/>
        <v>6.3406738904242532</v>
      </c>
      <c r="U314" s="208">
        <f t="shared" si="189"/>
        <v>48.534186012366021</v>
      </c>
      <c r="V314" s="208">
        <f t="shared" si="194"/>
        <v>18.040937519973536</v>
      </c>
      <c r="W314" s="155">
        <f t="shared" si="184"/>
        <v>48.534186012366021</v>
      </c>
      <c r="X314" s="155">
        <f t="shared" si="215"/>
        <v>5.9607790856220753</v>
      </c>
      <c r="Y314" s="208">
        <f t="shared" si="190"/>
        <v>48.534186012366021</v>
      </c>
      <c r="Z314" s="208">
        <f t="shared" si="195"/>
        <v>18.040937519973536</v>
      </c>
    </row>
    <row r="315" spans="1:26">
      <c r="A315" s="150">
        <v>1.88</v>
      </c>
      <c r="B315" s="151">
        <f t="shared" si="185"/>
        <v>1.7698135879237173</v>
      </c>
      <c r="C315" s="152">
        <f t="shared" si="176"/>
        <v>19.240504201680686</v>
      </c>
      <c r="D315" s="152">
        <f t="shared" si="177"/>
        <v>19.540504201680687</v>
      </c>
      <c r="E315" s="153">
        <f t="shared" si="178"/>
        <v>49.8989441551144</v>
      </c>
      <c r="F315" s="154">
        <f t="shared" si="210"/>
        <v>18.755457075197171</v>
      </c>
      <c r="G315" s="155">
        <f t="shared" si="179"/>
        <v>49.8989441551144</v>
      </c>
      <c r="H315" s="155">
        <f t="shared" si="211"/>
        <v>10.302044486962128</v>
      </c>
      <c r="I315" s="208">
        <f t="shared" si="186"/>
        <v>49.8989441551144</v>
      </c>
      <c r="J315" s="208">
        <f t="shared" ref="J315" si="218">0.5*$A$3*$B315*$B315*I315*0.001</f>
        <v>18.755457075197171</v>
      </c>
      <c r="K315" s="155">
        <f t="shared" si="181"/>
        <v>49.8989441551144</v>
      </c>
      <c r="L315" s="155">
        <f t="shared" si="212"/>
        <v>7.1118777772946631</v>
      </c>
      <c r="M315" s="208">
        <f t="shared" si="187"/>
        <v>49.8989441551144</v>
      </c>
      <c r="N315" s="208">
        <f t="shared" si="192"/>
        <v>18.755457075197171</v>
      </c>
      <c r="O315" s="155">
        <f t="shared" si="182"/>
        <v>49.8989441551144</v>
      </c>
      <c r="P315" s="155">
        <f t="shared" si="213"/>
        <v>6.7797968226163983</v>
      </c>
      <c r="Q315" s="208">
        <f t="shared" si="188"/>
        <v>49.8989441551144</v>
      </c>
      <c r="R315" s="208">
        <f t="shared" si="193"/>
        <v>18.755457075197171</v>
      </c>
      <c r="S315" s="155">
        <f t="shared" si="183"/>
        <v>49.8989441551144</v>
      </c>
      <c r="T315" s="155">
        <f t="shared" si="214"/>
        <v>6.3732086598771023</v>
      </c>
      <c r="U315" s="208">
        <f t="shared" si="189"/>
        <v>49.8989441551144</v>
      </c>
      <c r="V315" s="208">
        <f t="shared" si="194"/>
        <v>18.755457075197171</v>
      </c>
      <c r="W315" s="155">
        <f t="shared" si="184"/>
        <v>49.8989441551144</v>
      </c>
      <c r="X315" s="155">
        <f t="shared" si="215"/>
        <v>5.9911976968845426</v>
      </c>
      <c r="Y315" s="208">
        <f t="shared" si="190"/>
        <v>49.8989441551144</v>
      </c>
      <c r="Z315" s="208">
        <f t="shared" si="195"/>
        <v>18.755457075197171</v>
      </c>
    </row>
    <row r="316" spans="1:26">
      <c r="A316" s="150">
        <v>1.89</v>
      </c>
      <c r="B316" s="151">
        <f t="shared" si="185"/>
        <v>1.7796175094923445</v>
      </c>
      <c r="C316" s="152">
        <f t="shared" si="176"/>
        <v>18.676974789915974</v>
      </c>
      <c r="D316" s="152">
        <f t="shared" si="177"/>
        <v>18.976974789915975</v>
      </c>
      <c r="E316" s="153">
        <f t="shared" si="178"/>
        <v>51.342675686870059</v>
      </c>
      <c r="F316" s="154">
        <f t="shared" si="210"/>
        <v>19.512507548542541</v>
      </c>
      <c r="G316" s="155">
        <f t="shared" si="179"/>
        <v>51.342675686870059</v>
      </c>
      <c r="H316" s="155">
        <f t="shared" si="211"/>
        <v>10.356343129496063</v>
      </c>
      <c r="I316" s="208">
        <f t="shared" si="186"/>
        <v>51.342675686870059</v>
      </c>
      <c r="J316" s="208">
        <f>0.5*Lm*$B316*$B316*I316*0.001</f>
        <v>19.512507548542541</v>
      </c>
      <c r="K316" s="155">
        <f t="shared" si="181"/>
        <v>51.342675686870059</v>
      </c>
      <c r="L316" s="155">
        <f t="shared" si="212"/>
        <v>7.148504420683695</v>
      </c>
      <c r="M316" s="208">
        <f t="shared" si="187"/>
        <v>51.342675686870059</v>
      </c>
      <c r="N316" s="208">
        <f t="shared" si="192"/>
        <v>19.512507548542541</v>
      </c>
      <c r="O316" s="155">
        <f t="shared" si="182"/>
        <v>51.342675686870059</v>
      </c>
      <c r="P316" s="155">
        <f t="shared" si="213"/>
        <v>6.8145838962019685</v>
      </c>
      <c r="Q316" s="208">
        <f t="shared" si="188"/>
        <v>51.342675686870059</v>
      </c>
      <c r="R316" s="208">
        <f t="shared" si="193"/>
        <v>19.512507548542541</v>
      </c>
      <c r="S316" s="155">
        <f t="shared" si="183"/>
        <v>51.342675686870059</v>
      </c>
      <c r="T316" s="155">
        <f t="shared" si="214"/>
        <v>6.4057434293299513</v>
      </c>
      <c r="U316" s="208">
        <f t="shared" si="189"/>
        <v>51.342675686870059</v>
      </c>
      <c r="V316" s="208">
        <f t="shared" si="194"/>
        <v>19.512507548542541</v>
      </c>
      <c r="W316" s="155">
        <f t="shared" si="184"/>
        <v>51.342675686870059</v>
      </c>
      <c r="X316" s="155">
        <f t="shared" si="215"/>
        <v>6.0216163081470082</v>
      </c>
      <c r="Y316" s="208">
        <f t="shared" si="190"/>
        <v>51.342675686870059</v>
      </c>
      <c r="Z316" s="208">
        <f t="shared" si="195"/>
        <v>19.512507548542541</v>
      </c>
    </row>
    <row r="317" spans="1:26">
      <c r="A317" s="150">
        <v>1.9</v>
      </c>
      <c r="B317" s="151">
        <f t="shared" si="185"/>
        <v>1.7894214310609722</v>
      </c>
      <c r="C317" s="152">
        <f t="shared" si="176"/>
        <v>18.113445378151276</v>
      </c>
      <c r="D317" s="152">
        <f t="shared" si="177"/>
        <v>18.413445378151277</v>
      </c>
      <c r="E317" s="153">
        <f t="shared" si="178"/>
        <v>52.872439685431154</v>
      </c>
      <c r="F317" s="154">
        <f t="shared" si="210"/>
        <v>20.315890588433557</v>
      </c>
      <c r="G317" s="155">
        <f t="shared" si="179"/>
        <v>52.872439685431154</v>
      </c>
      <c r="H317" s="155">
        <f t="shared" si="211"/>
        <v>10.410641772030001</v>
      </c>
      <c r="I317" s="208">
        <f t="shared" si="186"/>
        <v>52.872439685431154</v>
      </c>
      <c r="J317" s="208">
        <f t="shared" ref="J317" si="219">0.5*$A$3*$B317*$B317*I317*0.001</f>
        <v>20.315890588433557</v>
      </c>
      <c r="K317" s="155">
        <f t="shared" si="181"/>
        <v>52.872439685431154</v>
      </c>
      <c r="L317" s="155">
        <f t="shared" si="212"/>
        <v>7.1851310640727295</v>
      </c>
      <c r="M317" s="208">
        <f t="shared" si="187"/>
        <v>52.872439685431154</v>
      </c>
      <c r="N317" s="208">
        <f t="shared" si="192"/>
        <v>20.315890588433557</v>
      </c>
      <c r="O317" s="155">
        <f t="shared" si="182"/>
        <v>52.872439685431154</v>
      </c>
      <c r="P317" s="155">
        <f t="shared" si="213"/>
        <v>6.8493709697875413</v>
      </c>
      <c r="Q317" s="208">
        <f t="shared" si="188"/>
        <v>52.872439685431154</v>
      </c>
      <c r="R317" s="208">
        <f t="shared" si="193"/>
        <v>20.315890588433557</v>
      </c>
      <c r="S317" s="155">
        <f t="shared" si="183"/>
        <v>52.872439685431154</v>
      </c>
      <c r="T317" s="155">
        <f t="shared" si="214"/>
        <v>6.4382781987828022</v>
      </c>
      <c r="U317" s="208">
        <f t="shared" si="189"/>
        <v>52.872439685431154</v>
      </c>
      <c r="V317" s="208">
        <f t="shared" si="194"/>
        <v>20.315890588433557</v>
      </c>
      <c r="W317" s="155">
        <f t="shared" si="184"/>
        <v>52.872439685431154</v>
      </c>
      <c r="X317" s="155">
        <f t="shared" si="215"/>
        <v>6.0520349194094765</v>
      </c>
      <c r="Y317" s="208">
        <f t="shared" si="190"/>
        <v>52.872439685431154</v>
      </c>
      <c r="Z317" s="208">
        <f t="shared" si="195"/>
        <v>20.315890588433557</v>
      </c>
    </row>
    <row r="318" spans="1:26">
      <c r="A318" s="150">
        <v>1.91</v>
      </c>
      <c r="B318" s="151">
        <f t="shared" si="185"/>
        <v>1.7992253526295996</v>
      </c>
      <c r="C318" s="152">
        <f t="shared" si="176"/>
        <v>17.549915966386568</v>
      </c>
      <c r="D318" s="152">
        <f t="shared" si="177"/>
        <v>17.849915966386568</v>
      </c>
      <c r="E318" s="153">
        <f t="shared" si="178"/>
        <v>54.496162371086768</v>
      </c>
      <c r="F318" s="154">
        <f t="shared" si="210"/>
        <v>21.169874840680745</v>
      </c>
      <c r="G318" s="155">
        <f t="shared" si="179"/>
        <v>54.496162371086768</v>
      </c>
      <c r="H318" s="155">
        <f t="shared" si="211"/>
        <v>10.464940414563937</v>
      </c>
      <c r="I318" s="208">
        <f t="shared" si="186"/>
        <v>54.496162371086768</v>
      </c>
      <c r="J318" s="208">
        <f>0.5*Lm*$B318*$B318*I318*0.001</f>
        <v>21.169874840680745</v>
      </c>
      <c r="K318" s="155">
        <f t="shared" si="181"/>
        <v>54.496162371086768</v>
      </c>
      <c r="L318" s="155">
        <f t="shared" si="212"/>
        <v>7.2217577074617632</v>
      </c>
      <c r="M318" s="208">
        <f t="shared" si="187"/>
        <v>54.496162371086768</v>
      </c>
      <c r="N318" s="208">
        <f t="shared" si="192"/>
        <v>21.169874840680745</v>
      </c>
      <c r="O318" s="155">
        <f t="shared" si="182"/>
        <v>54.496162371086768</v>
      </c>
      <c r="P318" s="155">
        <f t="shared" si="213"/>
        <v>6.8841580433731124</v>
      </c>
      <c r="Q318" s="208">
        <f t="shared" si="188"/>
        <v>54.496162371086768</v>
      </c>
      <c r="R318" s="208">
        <f t="shared" si="193"/>
        <v>21.169874840680745</v>
      </c>
      <c r="S318" s="155">
        <f t="shared" si="183"/>
        <v>54.496162371086768</v>
      </c>
      <c r="T318" s="155">
        <f t="shared" si="214"/>
        <v>6.4708129682356512</v>
      </c>
      <c r="U318" s="208">
        <f t="shared" si="189"/>
        <v>54.496162371086768</v>
      </c>
      <c r="V318" s="208">
        <f t="shared" si="194"/>
        <v>21.169874840680745</v>
      </c>
      <c r="W318" s="155">
        <f t="shared" si="184"/>
        <v>54.496162371086768</v>
      </c>
      <c r="X318" s="155">
        <f t="shared" si="215"/>
        <v>6.0824535306719429</v>
      </c>
      <c r="Y318" s="208">
        <f t="shared" si="190"/>
        <v>54.496162371086768</v>
      </c>
      <c r="Z318" s="208">
        <f t="shared" si="195"/>
        <v>21.169874840680745</v>
      </c>
    </row>
    <row r="319" spans="1:26">
      <c r="A319" s="150">
        <v>1.92</v>
      </c>
      <c r="B319" s="151">
        <f t="shared" si="185"/>
        <v>1.809029274198227</v>
      </c>
      <c r="C319" s="152">
        <f t="shared" si="176"/>
        <v>16.986386554621856</v>
      </c>
      <c r="D319" s="152">
        <f t="shared" si="177"/>
        <v>17.286386554621856</v>
      </c>
      <c r="E319" s="153">
        <f t="shared" si="178"/>
        <v>56.222774475805288</v>
      </c>
      <c r="F319" s="154">
        <f t="shared" si="210"/>
        <v>22.079269928308882</v>
      </c>
      <c r="G319" s="155">
        <f t="shared" si="179"/>
        <v>56.222774475805288</v>
      </c>
      <c r="H319" s="155">
        <f t="shared" si="211"/>
        <v>10.519239057097874</v>
      </c>
      <c r="I319" s="208">
        <f t="shared" si="186"/>
        <v>56.222774475805288</v>
      </c>
      <c r="J319" s="208">
        <f t="shared" ref="J319" si="220">0.5*$A$3*$B319*$B319*I319*0.001</f>
        <v>22.079269928308882</v>
      </c>
      <c r="K319" s="155">
        <f t="shared" si="181"/>
        <v>56.222774475805288</v>
      </c>
      <c r="L319" s="155">
        <f t="shared" si="212"/>
        <v>7.2583843508507959</v>
      </c>
      <c r="M319" s="208">
        <f t="shared" si="187"/>
        <v>56.222774475805288</v>
      </c>
      <c r="N319" s="208">
        <f t="shared" si="192"/>
        <v>22.079269928308882</v>
      </c>
      <c r="O319" s="155">
        <f t="shared" si="182"/>
        <v>56.222774475805288</v>
      </c>
      <c r="P319" s="155">
        <f t="shared" si="213"/>
        <v>6.9189451169586844</v>
      </c>
      <c r="Q319" s="208">
        <f t="shared" si="188"/>
        <v>56.222774475805288</v>
      </c>
      <c r="R319" s="208">
        <f t="shared" si="193"/>
        <v>22.079269928308882</v>
      </c>
      <c r="S319" s="155">
        <f t="shared" si="183"/>
        <v>56.222774475805288</v>
      </c>
      <c r="T319" s="155">
        <f t="shared" si="214"/>
        <v>6.5033477376885003</v>
      </c>
      <c r="U319" s="208">
        <f t="shared" si="189"/>
        <v>56.222774475805288</v>
      </c>
      <c r="V319" s="208">
        <f t="shared" si="194"/>
        <v>22.079269928308882</v>
      </c>
      <c r="W319" s="155">
        <f t="shared" si="184"/>
        <v>56.222774475805288</v>
      </c>
      <c r="X319" s="155">
        <f t="shared" si="215"/>
        <v>6.1128721419344103</v>
      </c>
      <c r="Y319" s="208">
        <f t="shared" si="190"/>
        <v>56.222774475805288</v>
      </c>
      <c r="Z319" s="208">
        <f t="shared" si="195"/>
        <v>22.079269928308882</v>
      </c>
    </row>
    <row r="320" spans="1:26">
      <c r="A320" s="150">
        <v>1.93</v>
      </c>
      <c r="B320" s="151">
        <f t="shared" si="185"/>
        <v>1.8188331957668546</v>
      </c>
      <c r="C320" s="152">
        <f t="shared" si="176"/>
        <v>16.422857142857154</v>
      </c>
      <c r="D320" s="152">
        <f t="shared" si="177"/>
        <v>16.722857142857155</v>
      </c>
      <c r="E320" s="153">
        <f t="shared" si="178"/>
        <v>58.062375580623716</v>
      </c>
      <c r="F320" s="154">
        <f t="shared" si="210"/>
        <v>23.049514955040749</v>
      </c>
      <c r="G320" s="155">
        <f t="shared" si="179"/>
        <v>58.062375580623716</v>
      </c>
      <c r="H320" s="155">
        <f t="shared" si="211"/>
        <v>10.57353769963181</v>
      </c>
      <c r="I320" s="208">
        <f t="shared" si="186"/>
        <v>58.062375580623716</v>
      </c>
      <c r="J320" s="208">
        <f>0.5*Lm*$B320*$B320*I320*0.001</f>
        <v>23.049514955040749</v>
      </c>
      <c r="K320" s="155">
        <f t="shared" si="181"/>
        <v>58.062375580623716</v>
      </c>
      <c r="L320" s="155">
        <f t="shared" si="212"/>
        <v>7.2950109942398305</v>
      </c>
      <c r="M320" s="208">
        <f t="shared" si="187"/>
        <v>58.062375580623716</v>
      </c>
      <c r="N320" s="208">
        <f t="shared" si="192"/>
        <v>23.049514955040749</v>
      </c>
      <c r="O320" s="155">
        <f t="shared" si="182"/>
        <v>58.062375580623716</v>
      </c>
      <c r="P320" s="155">
        <f t="shared" si="213"/>
        <v>6.9537321905442564</v>
      </c>
      <c r="Q320" s="208">
        <f t="shared" si="188"/>
        <v>58.062375580623716</v>
      </c>
      <c r="R320" s="208">
        <f t="shared" si="193"/>
        <v>23.049514955040749</v>
      </c>
      <c r="S320" s="155">
        <f t="shared" si="183"/>
        <v>58.062375580623716</v>
      </c>
      <c r="T320" s="155">
        <f t="shared" si="214"/>
        <v>6.5358825071413502</v>
      </c>
      <c r="U320" s="208">
        <f t="shared" si="189"/>
        <v>58.062375580623716</v>
      </c>
      <c r="V320" s="208">
        <f t="shared" si="194"/>
        <v>23.049514955040749</v>
      </c>
      <c r="W320" s="155">
        <f t="shared" si="184"/>
        <v>58.062375580623716</v>
      </c>
      <c r="X320" s="155">
        <f t="shared" si="215"/>
        <v>6.1432907531968777</v>
      </c>
      <c r="Y320" s="208">
        <f t="shared" si="190"/>
        <v>58.062375580623716</v>
      </c>
      <c r="Z320" s="208">
        <f t="shared" si="195"/>
        <v>23.049514955040749</v>
      </c>
    </row>
    <row r="321" spans="1:26">
      <c r="A321" s="150">
        <v>1.94</v>
      </c>
      <c r="B321" s="151">
        <f t="shared" si="185"/>
        <v>1.8286371173354821</v>
      </c>
      <c r="C321" s="152">
        <f t="shared" si="176"/>
        <v>15.859327731092442</v>
      </c>
      <c r="D321" s="152">
        <f t="shared" si="177"/>
        <v>16.159327731092443</v>
      </c>
      <c r="E321" s="153">
        <f t="shared" si="178"/>
        <v>60.026431806946903</v>
      </c>
      <c r="F321" s="154">
        <f t="shared" si="210"/>
        <v>24.086784971444292</v>
      </c>
      <c r="G321" s="155">
        <f t="shared" si="179"/>
        <v>60.026431806946903</v>
      </c>
      <c r="H321" s="155">
        <f t="shared" si="211"/>
        <v>10.627836342165747</v>
      </c>
      <c r="I321" s="208">
        <f t="shared" si="186"/>
        <v>60.026431806946903</v>
      </c>
      <c r="J321" s="208">
        <f t="shared" ref="J321" si="221">0.5*$A$3*$B321*$B321*I321*0.001</f>
        <v>24.086784971444292</v>
      </c>
      <c r="K321" s="155">
        <f t="shared" si="181"/>
        <v>60.026431806946903</v>
      </c>
      <c r="L321" s="155">
        <f t="shared" si="212"/>
        <v>7.3316376376288632</v>
      </c>
      <c r="M321" s="208">
        <f t="shared" si="187"/>
        <v>60.026431806946903</v>
      </c>
      <c r="N321" s="208">
        <f t="shared" si="192"/>
        <v>24.086784971444292</v>
      </c>
      <c r="O321" s="155">
        <f t="shared" si="182"/>
        <v>60.026431806946903</v>
      </c>
      <c r="P321" s="155">
        <f t="shared" si="213"/>
        <v>6.9885192641298284</v>
      </c>
      <c r="Q321" s="208">
        <f t="shared" si="188"/>
        <v>60.026431806946903</v>
      </c>
      <c r="R321" s="208">
        <f t="shared" si="193"/>
        <v>24.086784971444292</v>
      </c>
      <c r="S321" s="155">
        <f t="shared" si="183"/>
        <v>60.026431806946903</v>
      </c>
      <c r="T321" s="155">
        <f t="shared" si="214"/>
        <v>6.5684172765942002</v>
      </c>
      <c r="U321" s="208">
        <f t="shared" si="189"/>
        <v>60.026431806946903</v>
      </c>
      <c r="V321" s="208">
        <f t="shared" si="194"/>
        <v>24.086784971444292</v>
      </c>
      <c r="W321" s="155">
        <f t="shared" si="184"/>
        <v>60.026431806946903</v>
      </c>
      <c r="X321" s="155">
        <f t="shared" si="215"/>
        <v>6.173709364459345</v>
      </c>
      <c r="Y321" s="208">
        <f t="shared" si="190"/>
        <v>60.026431806946903</v>
      </c>
      <c r="Z321" s="208">
        <f t="shared" si="195"/>
        <v>24.086784971444292</v>
      </c>
    </row>
    <row r="322" spans="1:26">
      <c r="A322" s="150">
        <v>1.95</v>
      </c>
      <c r="B322" s="151">
        <f t="shared" si="185"/>
        <v>1.8384410389041093</v>
      </c>
      <c r="C322" s="152">
        <f t="shared" si="176"/>
        <v>15.295798319327739</v>
      </c>
      <c r="D322" s="152">
        <f t="shared" si="177"/>
        <v>15.59579831932774</v>
      </c>
      <c r="E322" s="153">
        <f t="shared" si="178"/>
        <v>62.128015036023768</v>
      </c>
      <c r="F322" s="154">
        <f t="shared" si="210"/>
        <v>25.198119805974194</v>
      </c>
      <c r="G322" s="155">
        <f t="shared" si="179"/>
        <v>62.128015036023768</v>
      </c>
      <c r="H322" s="155">
        <f t="shared" si="211"/>
        <v>10.682134984699683</v>
      </c>
      <c r="I322" s="208">
        <f t="shared" si="186"/>
        <v>62.128015036023768</v>
      </c>
      <c r="J322" s="208">
        <f>0.5*Lm*$B322*$B322*I322*0.001</f>
        <v>25.198119805974194</v>
      </c>
      <c r="K322" s="155">
        <f t="shared" si="181"/>
        <v>62.128015036023768</v>
      </c>
      <c r="L322" s="155">
        <f t="shared" si="212"/>
        <v>7.368264281017896</v>
      </c>
      <c r="M322" s="208">
        <f t="shared" si="187"/>
        <v>62.128015036023768</v>
      </c>
      <c r="N322" s="208">
        <f t="shared" si="192"/>
        <v>25.198119805974194</v>
      </c>
      <c r="O322" s="155">
        <f t="shared" si="182"/>
        <v>62.128015036023768</v>
      </c>
      <c r="P322" s="155">
        <f t="shared" si="213"/>
        <v>7.0233063377153995</v>
      </c>
      <c r="Q322" s="208">
        <f t="shared" si="188"/>
        <v>62.128015036023768</v>
      </c>
      <c r="R322" s="208">
        <f t="shared" si="193"/>
        <v>25.198119805974194</v>
      </c>
      <c r="S322" s="155">
        <f t="shared" si="183"/>
        <v>62.128015036023768</v>
      </c>
      <c r="T322" s="155">
        <f t="shared" si="214"/>
        <v>6.6009520460470483</v>
      </c>
      <c r="U322" s="208">
        <f t="shared" si="189"/>
        <v>62.128015036023768</v>
      </c>
      <c r="V322" s="208">
        <f t="shared" si="194"/>
        <v>25.198119805974194</v>
      </c>
      <c r="W322" s="155">
        <f t="shared" si="184"/>
        <v>62.128015036023768</v>
      </c>
      <c r="X322" s="155">
        <f t="shared" si="215"/>
        <v>6.2041279757218115</v>
      </c>
      <c r="Y322" s="208">
        <f t="shared" si="190"/>
        <v>62.128015036023768</v>
      </c>
      <c r="Z322" s="208">
        <f t="shared" si="195"/>
        <v>25.198119805974194</v>
      </c>
    </row>
    <row r="323" spans="1:26">
      <c r="A323" s="150">
        <v>1.96</v>
      </c>
      <c r="B323" s="151">
        <f t="shared" si="185"/>
        <v>1.8482449604727371</v>
      </c>
      <c r="C323" s="152">
        <f t="shared" si="176"/>
        <v>14.732268907563034</v>
      </c>
      <c r="D323" s="152">
        <f t="shared" si="177"/>
        <v>15.032268907563035</v>
      </c>
      <c r="E323" s="153">
        <f t="shared" si="178"/>
        <v>64.38209420344738</v>
      </c>
      <c r="F323" s="154">
        <f t="shared" si="210"/>
        <v>26.391580940885202</v>
      </c>
      <c r="G323" s="155">
        <f t="shared" si="179"/>
        <v>64.38209420344738</v>
      </c>
      <c r="H323" s="155">
        <f t="shared" si="211"/>
        <v>10.736433627233621</v>
      </c>
      <c r="I323" s="208">
        <f t="shared" si="186"/>
        <v>64.38209420344738</v>
      </c>
      <c r="J323" s="208">
        <f t="shared" ref="J323" si="222">0.5*$A$3*$B323*$B323*I323*0.001</f>
        <v>26.391580940885202</v>
      </c>
      <c r="K323" s="155">
        <f t="shared" si="181"/>
        <v>64.38209420344738</v>
      </c>
      <c r="L323" s="155">
        <f t="shared" si="212"/>
        <v>7.4048909244069314</v>
      </c>
      <c r="M323" s="208">
        <f t="shared" si="187"/>
        <v>64.38209420344738</v>
      </c>
      <c r="N323" s="208">
        <f t="shared" si="192"/>
        <v>26.391580940885202</v>
      </c>
      <c r="O323" s="155">
        <f t="shared" si="182"/>
        <v>64.38209420344738</v>
      </c>
      <c r="P323" s="155">
        <f t="shared" si="213"/>
        <v>7.0580934113009723</v>
      </c>
      <c r="Q323" s="208">
        <f t="shared" si="188"/>
        <v>64.38209420344738</v>
      </c>
      <c r="R323" s="208">
        <f t="shared" si="193"/>
        <v>26.391580940885202</v>
      </c>
      <c r="S323" s="155">
        <f t="shared" si="183"/>
        <v>64.38209420344738</v>
      </c>
      <c r="T323" s="155">
        <f t="shared" si="214"/>
        <v>6.6334868154999</v>
      </c>
      <c r="U323" s="208">
        <f t="shared" si="189"/>
        <v>64.38209420344738</v>
      </c>
      <c r="V323" s="208">
        <f t="shared" si="194"/>
        <v>26.391580940885202</v>
      </c>
      <c r="W323" s="155">
        <f t="shared" si="184"/>
        <v>64.38209420344738</v>
      </c>
      <c r="X323" s="155">
        <f t="shared" si="215"/>
        <v>6.2345465869842798</v>
      </c>
      <c r="Y323" s="208">
        <f t="shared" si="190"/>
        <v>64.38209420344738</v>
      </c>
      <c r="Z323" s="208">
        <f t="shared" si="195"/>
        <v>26.391580940885202</v>
      </c>
    </row>
    <row r="324" spans="1:26">
      <c r="A324" s="150">
        <v>1.97</v>
      </c>
      <c r="B324" s="151">
        <f t="shared" si="185"/>
        <v>1.8580488820413643</v>
      </c>
      <c r="C324" s="152">
        <f t="shared" si="176"/>
        <v>14.168739495798325</v>
      </c>
      <c r="D324" s="152">
        <f t="shared" si="177"/>
        <v>14.468739495798326</v>
      </c>
      <c r="E324" s="153">
        <f t="shared" si="178"/>
        <v>66.805892391987754</v>
      </c>
      <c r="F324" s="154">
        <f t="shared" si="210"/>
        <v>27.676443823670464</v>
      </c>
      <c r="G324" s="155">
        <f t="shared" si="179"/>
        <v>66.805892391987754</v>
      </c>
      <c r="H324" s="155">
        <f t="shared" si="211"/>
        <v>10.790732269767556</v>
      </c>
      <c r="I324" s="208">
        <f t="shared" si="186"/>
        <v>66.805892391987754</v>
      </c>
      <c r="J324" s="208">
        <f>0.5*Lm*$B324*$B324*I324*0.001</f>
        <v>27.676443823670464</v>
      </c>
      <c r="K324" s="155">
        <f t="shared" si="181"/>
        <v>66.805892391987754</v>
      </c>
      <c r="L324" s="155">
        <f t="shared" si="212"/>
        <v>7.4415175677959633</v>
      </c>
      <c r="M324" s="208">
        <f t="shared" si="187"/>
        <v>66.805892391987754</v>
      </c>
      <c r="N324" s="208">
        <f t="shared" si="192"/>
        <v>27.676443823670464</v>
      </c>
      <c r="O324" s="155">
        <f t="shared" si="182"/>
        <v>66.805892391987754</v>
      </c>
      <c r="P324" s="155">
        <f t="shared" si="213"/>
        <v>7.0928804848865434</v>
      </c>
      <c r="Q324" s="208">
        <f t="shared" si="188"/>
        <v>66.805892391987754</v>
      </c>
      <c r="R324" s="208">
        <f t="shared" si="193"/>
        <v>27.676443823670464</v>
      </c>
      <c r="S324" s="155">
        <f t="shared" si="183"/>
        <v>66.805892391987754</v>
      </c>
      <c r="T324" s="155">
        <f t="shared" si="214"/>
        <v>6.6660215849527482</v>
      </c>
      <c r="U324" s="208">
        <f t="shared" si="189"/>
        <v>66.805892391987754</v>
      </c>
      <c r="V324" s="208">
        <f t="shared" si="194"/>
        <v>27.676443823670464</v>
      </c>
      <c r="W324" s="155">
        <f t="shared" si="184"/>
        <v>66.805892391987754</v>
      </c>
      <c r="X324" s="155">
        <f t="shared" si="215"/>
        <v>6.2649651982467462</v>
      </c>
      <c r="Y324" s="208">
        <f t="shared" si="190"/>
        <v>66.805892391987754</v>
      </c>
      <c r="Z324" s="208">
        <f t="shared" si="195"/>
        <v>27.676443823670464</v>
      </c>
    </row>
    <row r="325" spans="1:26">
      <c r="A325" s="150">
        <v>1.98</v>
      </c>
      <c r="B325" s="151">
        <f t="shared" si="185"/>
        <v>1.8678528036099917</v>
      </c>
      <c r="C325" s="152">
        <f t="shared" si="176"/>
        <v>13.605210084033621</v>
      </c>
      <c r="D325" s="152">
        <f t="shared" si="177"/>
        <v>13.905210084033621</v>
      </c>
      <c r="E325" s="153">
        <f t="shared" si="178"/>
        <v>69.419327740896691</v>
      </c>
      <c r="F325" s="154">
        <f t="shared" si="210"/>
        <v>29.063435317648199</v>
      </c>
      <c r="G325" s="155">
        <f t="shared" si="179"/>
        <v>69.419327740896691</v>
      </c>
      <c r="H325" s="155">
        <f t="shared" si="211"/>
        <v>10.845030912301493</v>
      </c>
      <c r="I325" s="208">
        <f t="shared" si="186"/>
        <v>69.419327740896691</v>
      </c>
      <c r="J325" s="208">
        <f t="shared" ref="J325" si="223">0.5*$A$3*$B325*$B325*I325*0.001</f>
        <v>29.063435317648199</v>
      </c>
      <c r="K325" s="155">
        <f t="shared" si="181"/>
        <v>69.419327740896691</v>
      </c>
      <c r="L325" s="155">
        <f t="shared" si="212"/>
        <v>7.4781442111849969</v>
      </c>
      <c r="M325" s="208">
        <f t="shared" si="187"/>
        <v>69.419327740896691</v>
      </c>
      <c r="N325" s="208">
        <f t="shared" si="192"/>
        <v>29.063435317648199</v>
      </c>
      <c r="O325" s="155">
        <f t="shared" si="182"/>
        <v>69.419327740896691</v>
      </c>
      <c r="P325" s="155">
        <f t="shared" si="213"/>
        <v>7.1276675584721154</v>
      </c>
      <c r="Q325" s="208">
        <f t="shared" si="188"/>
        <v>69.419327740896691</v>
      </c>
      <c r="R325" s="208">
        <f t="shared" si="193"/>
        <v>29.063435317648199</v>
      </c>
      <c r="S325" s="155">
        <f t="shared" si="183"/>
        <v>69.419327740896691</v>
      </c>
      <c r="T325" s="155">
        <f t="shared" si="214"/>
        <v>6.6985563544055982</v>
      </c>
      <c r="U325" s="208">
        <f t="shared" si="189"/>
        <v>69.419327740896691</v>
      </c>
      <c r="V325" s="208">
        <f t="shared" si="194"/>
        <v>29.063435317648199</v>
      </c>
      <c r="W325" s="155">
        <f t="shared" si="184"/>
        <v>69.419327740896691</v>
      </c>
      <c r="X325" s="155">
        <f t="shared" si="215"/>
        <v>6.2953838095092127</v>
      </c>
      <c r="Y325" s="208">
        <f t="shared" si="190"/>
        <v>69.419327740896691</v>
      </c>
      <c r="Z325" s="208">
        <f t="shared" si="195"/>
        <v>29.063435317648199</v>
      </c>
    </row>
    <row r="326" spans="1:26">
      <c r="A326" s="150">
        <v>1.99</v>
      </c>
      <c r="B326" s="151">
        <f t="shared" si="185"/>
        <v>1.8776567251786194</v>
      </c>
      <c r="C326" s="152">
        <f t="shared" si="176"/>
        <v>13.041680672268917</v>
      </c>
      <c r="D326" s="152">
        <f t="shared" si="177"/>
        <v>13.341680672268918</v>
      </c>
      <c r="E326" s="153">
        <f t="shared" si="178"/>
        <v>72.245562058330648</v>
      </c>
      <c r="F326" s="154">
        <f t="shared" si="210"/>
        <v>30.565029155788942</v>
      </c>
      <c r="G326" s="155">
        <f t="shared" si="179"/>
        <v>72.245562058330648</v>
      </c>
      <c r="H326" s="155">
        <f t="shared" si="211"/>
        <v>10.899329554835431</v>
      </c>
      <c r="I326" s="208">
        <f t="shared" si="186"/>
        <v>72.245562058330648</v>
      </c>
      <c r="J326" s="208">
        <f>0.5*Lm*$B326*$B326*I326*0.001</f>
        <v>30.565029155788942</v>
      </c>
      <c r="K326" s="155">
        <f t="shared" si="181"/>
        <v>72.245562058330648</v>
      </c>
      <c r="L326" s="155">
        <f t="shared" si="212"/>
        <v>7.5147708545740306</v>
      </c>
      <c r="M326" s="208">
        <f t="shared" si="187"/>
        <v>72.245562058330648</v>
      </c>
      <c r="N326" s="208">
        <f t="shared" si="192"/>
        <v>30.565029155788942</v>
      </c>
      <c r="O326" s="155">
        <f t="shared" si="182"/>
        <v>72.245562058330648</v>
      </c>
      <c r="P326" s="155">
        <f t="shared" si="213"/>
        <v>7.1624546320576874</v>
      </c>
      <c r="Q326" s="208">
        <f t="shared" si="188"/>
        <v>72.245562058330648</v>
      </c>
      <c r="R326" s="208">
        <f t="shared" si="193"/>
        <v>30.565029155788942</v>
      </c>
      <c r="S326" s="155">
        <f t="shared" si="183"/>
        <v>72.245562058330648</v>
      </c>
      <c r="T326" s="155">
        <f t="shared" si="214"/>
        <v>6.7310911238584481</v>
      </c>
      <c r="U326" s="208">
        <f t="shared" si="189"/>
        <v>72.245562058330648</v>
      </c>
      <c r="V326" s="208">
        <f t="shared" si="194"/>
        <v>30.565029155788942</v>
      </c>
      <c r="W326" s="155">
        <f t="shared" si="184"/>
        <v>72.245562058330648</v>
      </c>
      <c r="X326" s="155">
        <f t="shared" si="215"/>
        <v>6.325802420771681</v>
      </c>
      <c r="Y326" s="208">
        <f t="shared" si="190"/>
        <v>72.245562058330648</v>
      </c>
      <c r="Z326" s="208">
        <f t="shared" si="195"/>
        <v>30.565029155788942</v>
      </c>
    </row>
    <row r="327" spans="1:26">
      <c r="A327" s="150">
        <v>2</v>
      </c>
      <c r="B327" s="151">
        <f t="shared" si="185"/>
        <v>1.8874606467472468</v>
      </c>
      <c r="C327" s="152">
        <f t="shared" si="176"/>
        <v>12.478151260504207</v>
      </c>
      <c r="D327" s="152">
        <f t="shared" si="177"/>
        <v>12.778151260504208</v>
      </c>
      <c r="E327" s="153">
        <f t="shared" si="178"/>
        <v>75.311689133599103</v>
      </c>
      <c r="F327" s="154">
        <f t="shared" si="210"/>
        <v>32.195816629529105</v>
      </c>
      <c r="G327" s="155">
        <f t="shared" si="179"/>
        <v>75.311689133599103</v>
      </c>
      <c r="H327" s="155">
        <f t="shared" si="211"/>
        <v>10.953628197369367</v>
      </c>
      <c r="I327" s="208">
        <f t="shared" si="186"/>
        <v>75.311689133599103</v>
      </c>
      <c r="J327" s="208">
        <f t="shared" ref="J327" si="224">0.5*$A$3*$B327*$B327*I327*0.001</f>
        <v>32.195816629529105</v>
      </c>
      <c r="K327" s="155">
        <f t="shared" si="181"/>
        <v>75.311689133599103</v>
      </c>
      <c r="L327" s="155">
        <f t="shared" si="212"/>
        <v>7.5513974979630643</v>
      </c>
      <c r="M327" s="208">
        <f t="shared" si="187"/>
        <v>75.311689133599103</v>
      </c>
      <c r="N327" s="208">
        <f t="shared" si="192"/>
        <v>32.195816629529105</v>
      </c>
      <c r="O327" s="155">
        <f t="shared" si="182"/>
        <v>75.311689133599103</v>
      </c>
      <c r="P327" s="155">
        <f t="shared" si="213"/>
        <v>7.1972417056432594</v>
      </c>
      <c r="Q327" s="208">
        <f t="shared" si="188"/>
        <v>75.311689133599103</v>
      </c>
      <c r="R327" s="208">
        <f t="shared" si="193"/>
        <v>32.195816629529105</v>
      </c>
      <c r="S327" s="155">
        <f t="shared" si="183"/>
        <v>75.311689133599103</v>
      </c>
      <c r="T327" s="155">
        <f t="shared" si="214"/>
        <v>6.763625893311298</v>
      </c>
      <c r="U327" s="208">
        <f t="shared" si="189"/>
        <v>75.311689133599103</v>
      </c>
      <c r="V327" s="208">
        <f t="shared" si="194"/>
        <v>32.195816629529105</v>
      </c>
      <c r="W327" s="155">
        <f t="shared" si="184"/>
        <v>75.311689133599103</v>
      </c>
      <c r="X327" s="155">
        <f t="shared" si="215"/>
        <v>6.3562210320341475</v>
      </c>
      <c r="Y327" s="208">
        <f t="shared" si="190"/>
        <v>75.311689133599103</v>
      </c>
      <c r="Z327" s="208">
        <f t="shared" si="195"/>
        <v>32.195816629529105</v>
      </c>
    </row>
    <row r="328" spans="1:26">
      <c r="A328" s="150">
        <v>2.0099999999999998</v>
      </c>
      <c r="B328" s="151">
        <f t="shared" si="185"/>
        <v>1.8972645683158742</v>
      </c>
      <c r="C328" s="152">
        <f t="shared" si="176"/>
        <v>11.914621848739515</v>
      </c>
      <c r="D328" s="152">
        <f t="shared" si="177"/>
        <v>12.214621848739515</v>
      </c>
      <c r="E328" s="153">
        <f t="shared" si="178"/>
        <v>78.649606091048369</v>
      </c>
      <c r="F328" s="154">
        <f t="shared" si="210"/>
        <v>33.972975854192697</v>
      </c>
      <c r="G328" s="155">
        <f t="shared" si="179"/>
        <v>78.649606091048369</v>
      </c>
      <c r="H328" s="155">
        <f t="shared" si="211"/>
        <v>11.007926839903302</v>
      </c>
      <c r="I328" s="208">
        <f t="shared" si="186"/>
        <v>78.649606091048369</v>
      </c>
      <c r="J328" s="208">
        <f>0.5*Lm*$B328*$B328*I328*0.001</f>
        <v>33.972975854192697</v>
      </c>
      <c r="K328" s="155">
        <f t="shared" si="181"/>
        <v>78.649606091048369</v>
      </c>
      <c r="L328" s="155">
        <f t="shared" si="212"/>
        <v>7.588024141352097</v>
      </c>
      <c r="M328" s="208">
        <f t="shared" si="187"/>
        <v>78.649606091048369</v>
      </c>
      <c r="N328" s="208">
        <f t="shared" si="192"/>
        <v>33.972975854192697</v>
      </c>
      <c r="O328" s="155">
        <f t="shared" si="182"/>
        <v>78.649606091048369</v>
      </c>
      <c r="P328" s="155">
        <f t="shared" si="213"/>
        <v>7.2320287792288296</v>
      </c>
      <c r="Q328" s="208">
        <f t="shared" si="188"/>
        <v>78.649606091048369</v>
      </c>
      <c r="R328" s="208">
        <f t="shared" si="193"/>
        <v>33.972975854192697</v>
      </c>
      <c r="S328" s="155">
        <f t="shared" si="183"/>
        <v>78.649606091048369</v>
      </c>
      <c r="T328" s="155">
        <f t="shared" si="214"/>
        <v>6.7961606627641462</v>
      </c>
      <c r="U328" s="208">
        <f t="shared" si="189"/>
        <v>78.649606091048369</v>
      </c>
      <c r="V328" s="208">
        <f t="shared" si="194"/>
        <v>33.972975854192697</v>
      </c>
      <c r="W328" s="155">
        <f t="shared" si="184"/>
        <v>78.649606091048369</v>
      </c>
      <c r="X328" s="155">
        <f t="shared" si="215"/>
        <v>6.3866396432966148</v>
      </c>
      <c r="Y328" s="208">
        <f t="shared" si="190"/>
        <v>78.649606091048369</v>
      </c>
      <c r="Z328" s="208">
        <f t="shared" si="195"/>
        <v>33.972975854192697</v>
      </c>
    </row>
    <row r="329" spans="1:26">
      <c r="A329" s="150">
        <v>2.02</v>
      </c>
      <c r="B329" s="151">
        <f t="shared" si="185"/>
        <v>1.9070684898845018</v>
      </c>
      <c r="C329" s="152">
        <f t="shared" si="176"/>
        <v>11.351092436974794</v>
      </c>
      <c r="D329" s="152">
        <f t="shared" si="177"/>
        <v>11.651092436974794</v>
      </c>
      <c r="E329" s="153">
        <f t="shared" si="178"/>
        <v>82.297127207845165</v>
      </c>
      <c r="F329" s="154">
        <f t="shared" si="210"/>
        <v>35.916871612730354</v>
      </c>
      <c r="G329" s="155">
        <f t="shared" si="179"/>
        <v>82.297127207845165</v>
      </c>
      <c r="H329" s="155">
        <f t="shared" si="211"/>
        <v>11.062225482437242</v>
      </c>
      <c r="I329" s="208">
        <f t="shared" si="186"/>
        <v>82.297127207845165</v>
      </c>
      <c r="J329" s="208">
        <f t="shared" ref="J329" si="225">0.5*$A$3*$B329*$B329*I329*0.001</f>
        <v>35.916871612730354</v>
      </c>
      <c r="K329" s="155">
        <f t="shared" si="181"/>
        <v>82.297127207845165</v>
      </c>
      <c r="L329" s="155">
        <f t="shared" si="212"/>
        <v>7.6246507847411316</v>
      </c>
      <c r="M329" s="208">
        <f t="shared" si="187"/>
        <v>82.297127207845165</v>
      </c>
      <c r="N329" s="208">
        <f t="shared" si="192"/>
        <v>35.916871612730354</v>
      </c>
      <c r="O329" s="155">
        <f t="shared" si="182"/>
        <v>82.297127207845165</v>
      </c>
      <c r="P329" s="155">
        <f t="shared" si="213"/>
        <v>7.2668158528144033</v>
      </c>
      <c r="Q329" s="208">
        <f t="shared" si="188"/>
        <v>82.297127207845165</v>
      </c>
      <c r="R329" s="208">
        <f t="shared" si="193"/>
        <v>35.916871612730354</v>
      </c>
      <c r="S329" s="155">
        <f t="shared" si="183"/>
        <v>82.297127207845165</v>
      </c>
      <c r="T329" s="155">
        <f t="shared" si="214"/>
        <v>6.8286954322169979</v>
      </c>
      <c r="U329" s="208">
        <f t="shared" si="189"/>
        <v>82.297127207845165</v>
      </c>
      <c r="V329" s="208">
        <f t="shared" si="194"/>
        <v>35.916871612730354</v>
      </c>
      <c r="W329" s="155">
        <f t="shared" si="184"/>
        <v>82.297127207845165</v>
      </c>
      <c r="X329" s="155">
        <f t="shared" si="215"/>
        <v>6.4170582545590822</v>
      </c>
      <c r="Y329" s="208">
        <f t="shared" si="190"/>
        <v>82.297127207845165</v>
      </c>
      <c r="Z329" s="208">
        <f t="shared" si="195"/>
        <v>35.916871612730354</v>
      </c>
    </row>
    <row r="330" spans="1:26">
      <c r="A330" s="150">
        <v>2.0299999999999998</v>
      </c>
      <c r="B330" s="151">
        <f t="shared" si="185"/>
        <v>1.9168724114531288</v>
      </c>
      <c r="C330" s="152">
        <f t="shared" si="176"/>
        <v>10.787563025210096</v>
      </c>
      <c r="D330" s="152">
        <f t="shared" si="177"/>
        <v>11.087563025210097</v>
      </c>
      <c r="E330" s="153">
        <f t="shared" si="178"/>
        <v>86.299422736634369</v>
      </c>
      <c r="F330" s="154">
        <f t="shared" si="210"/>
        <v>38.051830230008299</v>
      </c>
      <c r="G330" s="155">
        <f t="shared" si="179"/>
        <v>86.299422736634369</v>
      </c>
      <c r="H330" s="155">
        <f t="shared" si="211"/>
        <v>11.116524124971175</v>
      </c>
      <c r="I330" s="208">
        <f t="shared" si="186"/>
        <v>86.299422736634369</v>
      </c>
      <c r="J330" s="208">
        <f>0.5*Lm*$B330*$B330*I330*0.001</f>
        <v>38.051830230008299</v>
      </c>
      <c r="K330" s="155">
        <f t="shared" si="181"/>
        <v>86.299422736634369</v>
      </c>
      <c r="L330" s="155">
        <f t="shared" si="212"/>
        <v>7.6612774281301625</v>
      </c>
      <c r="M330" s="208">
        <f t="shared" si="187"/>
        <v>86.299422736634369</v>
      </c>
      <c r="N330" s="208">
        <f t="shared" si="192"/>
        <v>38.051830230008299</v>
      </c>
      <c r="O330" s="155">
        <f t="shared" si="182"/>
        <v>86.299422736634369</v>
      </c>
      <c r="P330" s="155">
        <f t="shared" si="213"/>
        <v>7.3016029263999727</v>
      </c>
      <c r="Q330" s="208">
        <f t="shared" si="188"/>
        <v>86.299422736634369</v>
      </c>
      <c r="R330" s="208">
        <f t="shared" si="193"/>
        <v>38.051830230008299</v>
      </c>
      <c r="S330" s="155">
        <f t="shared" si="183"/>
        <v>86.299422736634369</v>
      </c>
      <c r="T330" s="155">
        <f t="shared" si="214"/>
        <v>6.8612302016698452</v>
      </c>
      <c r="U330" s="208">
        <f t="shared" si="189"/>
        <v>86.299422736634369</v>
      </c>
      <c r="V330" s="208">
        <f t="shared" si="194"/>
        <v>38.051830230008299</v>
      </c>
      <c r="W330" s="155">
        <f t="shared" si="184"/>
        <v>86.299422736634369</v>
      </c>
      <c r="X330" s="155">
        <f t="shared" si="215"/>
        <v>6.4474768658215487</v>
      </c>
      <c r="Y330" s="208">
        <f t="shared" si="190"/>
        <v>86.299422736634369</v>
      </c>
      <c r="Z330" s="208">
        <f t="shared" si="195"/>
        <v>38.051830230008299</v>
      </c>
    </row>
    <row r="331" spans="1:26">
      <c r="A331" s="150">
        <v>2.04</v>
      </c>
      <c r="B331" s="151">
        <f t="shared" si="185"/>
        <v>1.9266763330217564</v>
      </c>
      <c r="C331" s="152">
        <f t="shared" si="176"/>
        <v>10.224033613445378</v>
      </c>
      <c r="D331" s="152">
        <f t="shared" si="177"/>
        <v>10.524033613445379</v>
      </c>
      <c r="E331" s="153">
        <f t="shared" si="178"/>
        <v>90.710899028859785</v>
      </c>
      <c r="F331" s="154">
        <f t="shared" si="210"/>
        <v>40.407152108448763</v>
      </c>
      <c r="G331" s="155">
        <f t="shared" si="179"/>
        <v>90.710899028859785</v>
      </c>
      <c r="H331" s="155">
        <f t="shared" si="211"/>
        <v>11.170822767505113</v>
      </c>
      <c r="I331" s="208">
        <f t="shared" si="186"/>
        <v>89.518920925762714</v>
      </c>
      <c r="J331" s="208">
        <f t="shared" ref="J331" si="226">0.5*$A$3*$B331*$B331*I331*0.001</f>
        <v>39.876185697163827</v>
      </c>
      <c r="K331" s="155">
        <f t="shared" si="181"/>
        <v>90.710899028859785</v>
      </c>
      <c r="L331" s="155">
        <f t="shared" si="212"/>
        <v>7.6979040715191971</v>
      </c>
      <c r="M331" s="208">
        <f t="shared" si="187"/>
        <v>90.710899028859785</v>
      </c>
      <c r="N331" s="208">
        <f t="shared" si="192"/>
        <v>40.407152108448763</v>
      </c>
      <c r="O331" s="155">
        <f t="shared" si="182"/>
        <v>90.710899028859785</v>
      </c>
      <c r="P331" s="155">
        <f t="shared" si="213"/>
        <v>7.3363899999855455</v>
      </c>
      <c r="Q331" s="208">
        <f t="shared" si="188"/>
        <v>90.710899028859785</v>
      </c>
      <c r="R331" s="208">
        <f t="shared" si="193"/>
        <v>40.407152108448763</v>
      </c>
      <c r="S331" s="155">
        <f t="shared" si="183"/>
        <v>90.710899028859785</v>
      </c>
      <c r="T331" s="155">
        <f t="shared" si="214"/>
        <v>6.893764971122696</v>
      </c>
      <c r="U331" s="208">
        <f t="shared" si="189"/>
        <v>90.710899028859785</v>
      </c>
      <c r="V331" s="208">
        <f t="shared" si="194"/>
        <v>40.407152108448763</v>
      </c>
      <c r="W331" s="155">
        <f t="shared" si="184"/>
        <v>90.710899028859785</v>
      </c>
      <c r="X331" s="155">
        <f t="shared" si="215"/>
        <v>6.477895477084016</v>
      </c>
      <c r="Y331" s="208">
        <f t="shared" si="190"/>
        <v>90.710899028859785</v>
      </c>
      <c r="Z331" s="208">
        <f t="shared" si="195"/>
        <v>40.407152108448763</v>
      </c>
    </row>
    <row r="332" spans="1:26">
      <c r="A332" s="150">
        <v>2.0499999999999998</v>
      </c>
      <c r="B332" s="151">
        <f t="shared" si="185"/>
        <v>1.9364802545903839</v>
      </c>
      <c r="C332" s="152">
        <f t="shared" si="176"/>
        <v>9.6605042016806877</v>
      </c>
      <c r="D332" s="152">
        <f t="shared" si="177"/>
        <v>9.9605042016806884</v>
      </c>
      <c r="E332" s="153">
        <f t="shared" si="178"/>
        <v>95.597686375321189</v>
      </c>
      <c r="F332" s="154">
        <f t="shared" si="210"/>
        <v>43.018451548244869</v>
      </c>
      <c r="G332" s="155">
        <f t="shared" si="179"/>
        <v>95.597686375321189</v>
      </c>
      <c r="H332" s="155">
        <f t="shared" si="211"/>
        <v>11.225121410039048</v>
      </c>
      <c r="I332" s="208">
        <f t="shared" si="186"/>
        <v>89.085896131658984</v>
      </c>
      <c r="J332" s="208">
        <f>0.5*Lm*$B332*$B332*I332*0.001</f>
        <v>40.088180495559314</v>
      </c>
      <c r="K332" s="155">
        <f t="shared" si="181"/>
        <v>95.597686375321189</v>
      </c>
      <c r="L332" s="155">
        <f t="shared" si="212"/>
        <v>7.7345307149082299</v>
      </c>
      <c r="M332" s="208">
        <f t="shared" si="187"/>
        <v>95.597686375321189</v>
      </c>
      <c r="N332" s="208">
        <f t="shared" si="192"/>
        <v>43.018451548244869</v>
      </c>
      <c r="O332" s="155">
        <f t="shared" si="182"/>
        <v>95.597686375321189</v>
      </c>
      <c r="P332" s="155">
        <f t="shared" si="213"/>
        <v>7.3711770735711166</v>
      </c>
      <c r="Q332" s="208">
        <f t="shared" si="188"/>
        <v>95.597686375321189</v>
      </c>
      <c r="R332" s="208">
        <f t="shared" si="193"/>
        <v>43.018451548244869</v>
      </c>
      <c r="S332" s="155">
        <f t="shared" si="183"/>
        <v>95.597686375321189</v>
      </c>
      <c r="T332" s="155">
        <f t="shared" si="214"/>
        <v>6.9262997405755442</v>
      </c>
      <c r="U332" s="208">
        <f t="shared" si="189"/>
        <v>95.597686375321189</v>
      </c>
      <c r="V332" s="208">
        <f t="shared" si="194"/>
        <v>43.018451548244869</v>
      </c>
      <c r="W332" s="155">
        <f t="shared" si="184"/>
        <v>95.597686375321189</v>
      </c>
      <c r="X332" s="155">
        <f t="shared" si="215"/>
        <v>6.5083140883464825</v>
      </c>
      <c r="Y332" s="208">
        <f t="shared" si="190"/>
        <v>95.597686375321189</v>
      </c>
      <c r="Z332" s="208">
        <f t="shared" si="195"/>
        <v>43.018451548244869</v>
      </c>
    </row>
    <row r="333" spans="1:26">
      <c r="A333" s="150">
        <v>2.06</v>
      </c>
      <c r="B333" s="151">
        <f t="shared" si="185"/>
        <v>1.9462841761590115</v>
      </c>
      <c r="C333" s="152">
        <f t="shared" si="176"/>
        <v>9.0969747899159721</v>
      </c>
      <c r="D333" s="152">
        <f t="shared" si="177"/>
        <v>9.3969747899159728</v>
      </c>
      <c r="E333" s="153">
        <f t="shared" si="178"/>
        <v>101.04097678604779</v>
      </c>
      <c r="F333" s="154">
        <f t="shared" si="210"/>
        <v>45.929454300236202</v>
      </c>
      <c r="G333" s="155">
        <f t="shared" si="179"/>
        <v>101.04097678604779</v>
      </c>
      <c r="H333" s="155">
        <f t="shared" si="211"/>
        <v>11.279420052572988</v>
      </c>
      <c r="I333" s="208">
        <f t="shared" si="186"/>
        <v>88.657040462987851</v>
      </c>
      <c r="J333" s="208">
        <f t="shared" ref="J333" si="227">0.5*$A$3*$B333*$B333*I333*0.001</f>
        <v>40.300179371398052</v>
      </c>
      <c r="K333" s="155">
        <f t="shared" si="181"/>
        <v>101.04097678604779</v>
      </c>
      <c r="L333" s="155">
        <f t="shared" si="212"/>
        <v>7.7711573582972644</v>
      </c>
      <c r="M333" s="208">
        <f t="shared" si="187"/>
        <v>101.04097678604779</v>
      </c>
      <c r="N333" s="208">
        <f t="shared" si="192"/>
        <v>45.929454300236202</v>
      </c>
      <c r="O333" s="155">
        <f t="shared" si="182"/>
        <v>101.04097678604779</v>
      </c>
      <c r="P333" s="155">
        <f t="shared" si="213"/>
        <v>7.4059641471566895</v>
      </c>
      <c r="Q333" s="208">
        <f t="shared" si="188"/>
        <v>101.04097678604779</v>
      </c>
      <c r="R333" s="208">
        <f t="shared" si="193"/>
        <v>45.929454300236202</v>
      </c>
      <c r="S333" s="155">
        <f t="shared" si="183"/>
        <v>101.04097678604779</v>
      </c>
      <c r="T333" s="155">
        <f t="shared" si="214"/>
        <v>6.958834510028395</v>
      </c>
      <c r="U333" s="208">
        <f t="shared" si="189"/>
        <v>101.04097678604779</v>
      </c>
      <c r="V333" s="208">
        <f t="shared" si="194"/>
        <v>45.929454300236202</v>
      </c>
      <c r="W333" s="155">
        <f t="shared" si="184"/>
        <v>101.04097678604779</v>
      </c>
      <c r="X333" s="155">
        <f t="shared" si="215"/>
        <v>6.5387326996089508</v>
      </c>
      <c r="Y333" s="208">
        <f t="shared" si="190"/>
        <v>101.04097678604779</v>
      </c>
      <c r="Z333" s="208">
        <f t="shared" si="195"/>
        <v>45.929454300236202</v>
      </c>
    </row>
    <row r="334" spans="1:26">
      <c r="A334" s="150">
        <v>2.0699999999999998</v>
      </c>
      <c r="B334" s="151">
        <f t="shared" si="185"/>
        <v>1.9560880977276389</v>
      </c>
      <c r="C334" s="152">
        <f t="shared" si="176"/>
        <v>8.5334453781512796</v>
      </c>
      <c r="D334" s="152">
        <f t="shared" si="177"/>
        <v>8.8334453781512803</v>
      </c>
      <c r="E334" s="153">
        <f t="shared" si="178"/>
        <v>107.14157092952043</v>
      </c>
      <c r="F334" s="154">
        <f t="shared" si="210"/>
        <v>49.194446308481503</v>
      </c>
      <c r="G334" s="155">
        <f t="shared" si="179"/>
        <v>107.14157092952043</v>
      </c>
      <c r="H334" s="155">
        <f t="shared" si="211"/>
        <v>11.333718695106922</v>
      </c>
      <c r="I334" s="208">
        <f t="shared" si="186"/>
        <v>88.232293998237978</v>
      </c>
      <c r="J334" s="208">
        <f>0.5*Lm*$B334*$B334*I334*0.001</f>
        <v>40.512182266076294</v>
      </c>
      <c r="K334" s="155">
        <f t="shared" si="181"/>
        <v>107.14157092952043</v>
      </c>
      <c r="L334" s="155">
        <f t="shared" si="212"/>
        <v>7.8077840016862972</v>
      </c>
      <c r="M334" s="208">
        <f t="shared" si="187"/>
        <v>107.14157092952043</v>
      </c>
      <c r="N334" s="208">
        <f t="shared" si="192"/>
        <v>49.194446308481503</v>
      </c>
      <c r="O334" s="155">
        <f t="shared" si="182"/>
        <v>107.14157092952043</v>
      </c>
      <c r="P334" s="155">
        <f t="shared" si="213"/>
        <v>7.4407512207422606</v>
      </c>
      <c r="Q334" s="208">
        <f t="shared" si="188"/>
        <v>107.14157092952043</v>
      </c>
      <c r="R334" s="208">
        <f t="shared" si="193"/>
        <v>49.194446308481503</v>
      </c>
      <c r="S334" s="155">
        <f t="shared" si="183"/>
        <v>107.14157092952043</v>
      </c>
      <c r="T334" s="155">
        <f t="shared" si="214"/>
        <v>6.9913692794812441</v>
      </c>
      <c r="U334" s="208">
        <f t="shared" si="189"/>
        <v>107.14157092952043</v>
      </c>
      <c r="V334" s="208">
        <f t="shared" si="194"/>
        <v>49.194446308481503</v>
      </c>
      <c r="W334" s="155">
        <f t="shared" si="184"/>
        <v>107.14157092952043</v>
      </c>
      <c r="X334" s="155">
        <f t="shared" si="215"/>
        <v>6.5691513108714172</v>
      </c>
      <c r="Y334" s="208">
        <f t="shared" si="190"/>
        <v>107.14157092952043</v>
      </c>
      <c r="Z334" s="208">
        <f t="shared" si="195"/>
        <v>49.194446308481503</v>
      </c>
    </row>
    <row r="335" spans="1:26">
      <c r="A335" s="150">
        <v>2.08</v>
      </c>
      <c r="B335" s="151">
        <f t="shared" si="185"/>
        <v>1.9658920192962666</v>
      </c>
      <c r="C335" s="152">
        <f t="shared" si="176"/>
        <v>7.9699159663865577</v>
      </c>
      <c r="D335" s="152">
        <f t="shared" si="177"/>
        <v>8.2699159663865576</v>
      </c>
      <c r="E335" s="153">
        <f t="shared" si="178"/>
        <v>114.02617811080658</v>
      </c>
      <c r="F335" s="154">
        <f t="shared" si="210"/>
        <v>52.881666547486333</v>
      </c>
      <c r="G335" s="155">
        <f t="shared" si="179"/>
        <v>114.02617811080658</v>
      </c>
      <c r="H335" s="155">
        <f t="shared" si="211"/>
        <v>11.388017337640861</v>
      </c>
      <c r="I335" s="208">
        <f t="shared" si="186"/>
        <v>87.811597958732975</v>
      </c>
      <c r="J335" s="208">
        <f t="shared" ref="J335" si="228">0.5*$A$3*$B335*$B335*I335*0.001</f>
        <v>40.724189122107916</v>
      </c>
      <c r="K335" s="155">
        <f t="shared" si="181"/>
        <v>114.02617811080658</v>
      </c>
      <c r="L335" s="155">
        <f t="shared" si="212"/>
        <v>7.8444106450753317</v>
      </c>
      <c r="M335" s="208">
        <f t="shared" si="187"/>
        <v>114.02617811080658</v>
      </c>
      <c r="N335" s="208">
        <f t="shared" si="192"/>
        <v>52.881666547486333</v>
      </c>
      <c r="O335" s="155">
        <f t="shared" si="182"/>
        <v>114.02617811080658</v>
      </c>
      <c r="P335" s="155">
        <f t="shared" si="213"/>
        <v>7.4755382943278335</v>
      </c>
      <c r="Q335" s="208">
        <f t="shared" si="188"/>
        <v>114.02617811080658</v>
      </c>
      <c r="R335" s="208">
        <f t="shared" si="193"/>
        <v>52.881666547486333</v>
      </c>
      <c r="S335" s="155">
        <f t="shared" si="183"/>
        <v>114.02617811080658</v>
      </c>
      <c r="T335" s="155">
        <f t="shared" si="214"/>
        <v>7.0239040489340949</v>
      </c>
      <c r="U335" s="208">
        <f t="shared" si="189"/>
        <v>114.02617811080658</v>
      </c>
      <c r="V335" s="208">
        <f t="shared" si="194"/>
        <v>52.881666547486333</v>
      </c>
      <c r="W335" s="155">
        <f t="shared" si="184"/>
        <v>114.02617811080658</v>
      </c>
      <c r="X335" s="155">
        <f t="shared" si="215"/>
        <v>6.5995699221338855</v>
      </c>
      <c r="Y335" s="208">
        <f t="shared" si="190"/>
        <v>114.02617811080658</v>
      </c>
      <c r="Z335" s="208">
        <f t="shared" si="195"/>
        <v>52.881666547486333</v>
      </c>
    </row>
    <row r="336" spans="1:26">
      <c r="A336" s="150">
        <v>2.09</v>
      </c>
      <c r="B336" s="151">
        <f t="shared" si="185"/>
        <v>1.9756959408648935</v>
      </c>
      <c r="C336" s="152">
        <f t="shared" si="176"/>
        <v>7.4063865546218599</v>
      </c>
      <c r="D336" s="152">
        <f t="shared" si="177"/>
        <v>7.7063865546218597</v>
      </c>
      <c r="E336" s="153">
        <f t="shared" si="178"/>
        <v>121.85631195215844</v>
      </c>
      <c r="F336" s="154">
        <f t="shared" si="210"/>
        <v>57.078097768401499</v>
      </c>
      <c r="G336" s="155">
        <f t="shared" si="179"/>
        <v>121.85631195215844</v>
      </c>
      <c r="H336" s="155">
        <f t="shared" si="211"/>
        <v>11.442315980174794</v>
      </c>
      <c r="I336" s="208">
        <f t="shared" si="186"/>
        <v>87.39489468151568</v>
      </c>
      <c r="J336" s="208">
        <f>0.5*Lm*$B336*$B336*I336*0.001</f>
        <v>40.93619988309802</v>
      </c>
      <c r="K336" s="155">
        <f t="shared" si="181"/>
        <v>121.85631195215844</v>
      </c>
      <c r="L336" s="155">
        <f t="shared" si="212"/>
        <v>7.8810372884643627</v>
      </c>
      <c r="M336" s="208">
        <f t="shared" si="187"/>
        <v>121.85631195215844</v>
      </c>
      <c r="N336" s="208">
        <f t="shared" si="192"/>
        <v>57.078097768401499</v>
      </c>
      <c r="O336" s="155">
        <f t="shared" si="182"/>
        <v>121.85631195215844</v>
      </c>
      <c r="P336" s="155">
        <f t="shared" si="213"/>
        <v>7.5103253679134028</v>
      </c>
      <c r="Q336" s="208">
        <f t="shared" si="188"/>
        <v>121.85631195215844</v>
      </c>
      <c r="R336" s="208">
        <f t="shared" si="193"/>
        <v>57.078097768401499</v>
      </c>
      <c r="S336" s="155">
        <f t="shared" si="183"/>
        <v>121.85631195215844</v>
      </c>
      <c r="T336" s="155">
        <f t="shared" si="214"/>
        <v>7.0564388183869422</v>
      </c>
      <c r="U336" s="208">
        <f t="shared" si="189"/>
        <v>121.85631195215844</v>
      </c>
      <c r="V336" s="208">
        <f t="shared" si="194"/>
        <v>57.078097768401499</v>
      </c>
      <c r="W336" s="155">
        <f t="shared" si="184"/>
        <v>121.85631195215844</v>
      </c>
      <c r="X336" s="155">
        <f t="shared" si="215"/>
        <v>6.6299885333963502</v>
      </c>
      <c r="Y336" s="208">
        <f t="shared" si="190"/>
        <v>121.85631195215844</v>
      </c>
      <c r="Z336" s="208">
        <f t="shared" si="195"/>
        <v>57.078097768401499</v>
      </c>
    </row>
    <row r="337" spans="1:26">
      <c r="A337" s="150">
        <v>2.1</v>
      </c>
      <c r="B337" s="151">
        <f t="shared" si="185"/>
        <v>1.9854998624335212</v>
      </c>
      <c r="C337" s="152">
        <f t="shared" si="176"/>
        <v>6.8428571428571372</v>
      </c>
      <c r="D337" s="152">
        <f t="shared" si="177"/>
        <v>7.142857142857137</v>
      </c>
      <c r="E337" s="153">
        <f t="shared" si="178"/>
        <v>130.8411214953272</v>
      </c>
      <c r="F337" s="154">
        <f t="shared" si="210"/>
        <v>61.896376656593809</v>
      </c>
      <c r="G337" s="155">
        <f t="shared" si="179"/>
        <v>130.8411214953272</v>
      </c>
      <c r="H337" s="155">
        <f t="shared" si="211"/>
        <v>11.496614622708734</v>
      </c>
      <c r="I337" s="208">
        <f t="shared" si="186"/>
        <v>86.982127592999944</v>
      </c>
      <c r="J337" s="208">
        <f t="shared" ref="J337" si="229">0.5*$A$3*$B337*$B337*I337*0.001</f>
        <v>41.148214493717127</v>
      </c>
      <c r="K337" s="155">
        <f t="shared" si="181"/>
        <v>130.8411214953272</v>
      </c>
      <c r="L337" s="155">
        <f t="shared" si="212"/>
        <v>7.9176639318533972</v>
      </c>
      <c r="M337" s="208">
        <f t="shared" si="187"/>
        <v>126.29987943500858</v>
      </c>
      <c r="N337" s="208">
        <f t="shared" si="192"/>
        <v>59.748073234536349</v>
      </c>
      <c r="O337" s="155">
        <f t="shared" si="182"/>
        <v>130.8411214953272</v>
      </c>
      <c r="P337" s="155">
        <f t="shared" si="213"/>
        <v>7.5451124414989756</v>
      </c>
      <c r="Q337" s="208">
        <f t="shared" si="188"/>
        <v>130.8411214953272</v>
      </c>
      <c r="R337" s="208">
        <f t="shared" si="193"/>
        <v>61.896376656593809</v>
      </c>
      <c r="S337" s="155">
        <f t="shared" si="183"/>
        <v>130.8411214953272</v>
      </c>
      <c r="T337" s="155">
        <f t="shared" si="214"/>
        <v>7.088973587839793</v>
      </c>
      <c r="U337" s="208">
        <f t="shared" si="189"/>
        <v>130.8411214953272</v>
      </c>
      <c r="V337" s="208">
        <f t="shared" si="194"/>
        <v>61.896376656593809</v>
      </c>
      <c r="W337" s="155">
        <f t="shared" si="184"/>
        <v>130.8411214953272</v>
      </c>
      <c r="X337" s="155">
        <f t="shared" si="215"/>
        <v>6.6604071446588193</v>
      </c>
      <c r="Y337" s="208">
        <f t="shared" si="190"/>
        <v>130.8411214953272</v>
      </c>
      <c r="Z337" s="208">
        <f t="shared" si="195"/>
        <v>61.896376656593809</v>
      </c>
    </row>
    <row r="338" spans="1:26">
      <c r="A338" s="150">
        <v>2.12</v>
      </c>
      <c r="B338" s="151">
        <f t="shared" si="185"/>
        <v>2.0051077055707762</v>
      </c>
      <c r="C338" s="152">
        <f t="shared" si="176"/>
        <v>6.8428571428571434</v>
      </c>
      <c r="D338" s="152">
        <f t="shared" si="177"/>
        <v>7.1428571428571432</v>
      </c>
      <c r="E338" s="153">
        <f t="shared" si="178"/>
        <v>130.84112149532709</v>
      </c>
      <c r="F338" s="154">
        <f t="shared" si="210"/>
        <v>63.124930938112406</v>
      </c>
      <c r="G338" s="155">
        <f t="shared" si="179"/>
        <v>130.84112149532709</v>
      </c>
      <c r="H338" s="155">
        <f t="shared" si="211"/>
        <v>11.605211907776606</v>
      </c>
      <c r="I338" s="208">
        <f t="shared" si="186"/>
        <v>86.168180981676343</v>
      </c>
      <c r="J338" s="208">
        <f>0.5*Lm*$B338*$B338*I338*0.001</f>
        <v>41.572255047701908</v>
      </c>
      <c r="K338" s="155">
        <f t="shared" si="181"/>
        <v>130.84112149532709</v>
      </c>
      <c r="L338" s="155">
        <f t="shared" si="212"/>
        <v>7.9909172186314645</v>
      </c>
      <c r="M338" s="208">
        <f t="shared" si="187"/>
        <v>125.14207976881799</v>
      </c>
      <c r="N338" s="208">
        <f t="shared" si="192"/>
        <v>60.375400734703412</v>
      </c>
      <c r="O338" s="155">
        <f t="shared" si="182"/>
        <v>130.84112149532709</v>
      </c>
      <c r="P338" s="155">
        <f t="shared" si="213"/>
        <v>7.6146865886701196</v>
      </c>
      <c r="Q338" s="208">
        <f t="shared" si="188"/>
        <v>130.84112149532709</v>
      </c>
      <c r="R338" s="208">
        <f t="shared" si="193"/>
        <v>63.124930938112406</v>
      </c>
      <c r="S338" s="155">
        <f t="shared" si="183"/>
        <v>130.84112149532709</v>
      </c>
      <c r="T338" s="155">
        <f t="shared" si="214"/>
        <v>7.154043126745492</v>
      </c>
      <c r="U338" s="208">
        <f t="shared" si="189"/>
        <v>130.84112149532709</v>
      </c>
      <c r="V338" s="208">
        <f t="shared" si="194"/>
        <v>63.124930938112406</v>
      </c>
      <c r="W338" s="155">
        <f t="shared" si="184"/>
        <v>130.84112149532709</v>
      </c>
      <c r="X338" s="155">
        <f t="shared" si="215"/>
        <v>6.7212443671837541</v>
      </c>
      <c r="Y338" s="208">
        <f t="shared" si="190"/>
        <v>130.84112149532709</v>
      </c>
      <c r="Z338" s="208">
        <f t="shared" si="195"/>
        <v>63.124930938112406</v>
      </c>
    </row>
    <row r="339" spans="1:26">
      <c r="A339" s="150">
        <v>2.14</v>
      </c>
      <c r="B339" s="151">
        <f t="shared" si="185"/>
        <v>2.0247155487080315</v>
      </c>
      <c r="C339" s="152">
        <f t="shared" si="176"/>
        <v>6.8428571428571434</v>
      </c>
      <c r="D339" s="152">
        <f t="shared" si="177"/>
        <v>7.1428571428571432</v>
      </c>
      <c r="E339" s="153">
        <f t="shared" si="178"/>
        <v>130.84112149532709</v>
      </c>
      <c r="F339" s="154">
        <f t="shared" si="210"/>
        <v>64.365558218154291</v>
      </c>
      <c r="G339" s="155">
        <f t="shared" si="179"/>
        <v>130.84112149532709</v>
      </c>
      <c r="H339" s="155">
        <f t="shared" si="211"/>
        <v>11.713809192844483</v>
      </c>
      <c r="I339" s="208">
        <f t="shared" si="186"/>
        <v>85.369326368305678</v>
      </c>
      <c r="J339" s="208">
        <f t="shared" ref="J339" si="230">0.5*$A$3*$B339*$B339*I339*0.001</f>
        <v>41.996310361800425</v>
      </c>
      <c r="K339" s="155">
        <f t="shared" si="181"/>
        <v>130.84112149532709</v>
      </c>
      <c r="L339" s="155">
        <f t="shared" si="212"/>
        <v>8.0641705054095336</v>
      </c>
      <c r="M339" s="208">
        <f t="shared" si="187"/>
        <v>124.00531453658985</v>
      </c>
      <c r="N339" s="208">
        <f t="shared" si="192"/>
        <v>61.002773447264197</v>
      </c>
      <c r="O339" s="155">
        <f t="shared" si="182"/>
        <v>130.84112149532709</v>
      </c>
      <c r="P339" s="155">
        <f t="shared" si="213"/>
        <v>7.6842607358412645</v>
      </c>
      <c r="Q339" s="208">
        <f t="shared" si="188"/>
        <v>130.1361359767188</v>
      </c>
      <c r="R339" s="208">
        <f t="shared" si="193"/>
        <v>64.018749921784263</v>
      </c>
      <c r="S339" s="155">
        <f t="shared" si="183"/>
        <v>130.84112149532709</v>
      </c>
      <c r="T339" s="155">
        <f t="shared" si="214"/>
        <v>7.2191126656511937</v>
      </c>
      <c r="U339" s="208">
        <f t="shared" si="189"/>
        <v>130.84112149532709</v>
      </c>
      <c r="V339" s="208">
        <f t="shared" si="194"/>
        <v>64.365558218154291</v>
      </c>
      <c r="W339" s="155">
        <f t="shared" si="184"/>
        <v>130.84112149532709</v>
      </c>
      <c r="X339" s="155">
        <f t="shared" si="215"/>
        <v>6.7820815897086888</v>
      </c>
      <c r="Y339" s="208">
        <f t="shared" si="190"/>
        <v>130.84112149532709</v>
      </c>
      <c r="Z339" s="208">
        <f t="shared" si="195"/>
        <v>64.365558218154291</v>
      </c>
    </row>
    <row r="340" spans="1:26">
      <c r="A340" s="150">
        <v>2.16</v>
      </c>
      <c r="B340" s="151">
        <f t="shared" si="185"/>
        <v>2.0443233918452859</v>
      </c>
      <c r="C340" s="152">
        <f t="shared" si="176"/>
        <v>6.8428571428571434</v>
      </c>
      <c r="D340" s="152">
        <f t="shared" si="177"/>
        <v>7.1428571428571432</v>
      </c>
      <c r="E340" s="153">
        <f t="shared" si="178"/>
        <v>130.84112149532709</v>
      </c>
      <c r="F340" s="154">
        <f t="shared" si="210"/>
        <v>65.618258496719321</v>
      </c>
      <c r="G340" s="155">
        <f t="shared" si="179"/>
        <v>130.84112149532709</v>
      </c>
      <c r="H340" s="155">
        <f t="shared" si="211"/>
        <v>11.822406477912352</v>
      </c>
      <c r="I340" s="208">
        <f t="shared" si="186"/>
        <v>84.585147860402785</v>
      </c>
      <c r="J340" s="208">
        <f>0.5*Lm*$B340*$B340*I340*0.001</f>
        <v>42.420380029265964</v>
      </c>
      <c r="K340" s="155">
        <f t="shared" si="181"/>
        <v>130.84112149532709</v>
      </c>
      <c r="L340" s="155">
        <f t="shared" si="212"/>
        <v>8.1374237921875974</v>
      </c>
      <c r="M340" s="208">
        <f t="shared" si="187"/>
        <v>122.88901568086678</v>
      </c>
      <c r="N340" s="208">
        <f t="shared" si="192"/>
        <v>61.630190151209476</v>
      </c>
      <c r="O340" s="155">
        <f t="shared" si="182"/>
        <v>130.84112149532709</v>
      </c>
      <c r="P340" s="155">
        <f t="shared" si="213"/>
        <v>7.7538348830124058</v>
      </c>
      <c r="Q340" s="208">
        <f t="shared" si="188"/>
        <v>128.96844143416874</v>
      </c>
      <c r="R340" s="208">
        <f t="shared" si="193"/>
        <v>64.679088892160948</v>
      </c>
      <c r="S340" s="155">
        <f t="shared" si="183"/>
        <v>130.84112149532709</v>
      </c>
      <c r="T340" s="155">
        <f t="shared" si="214"/>
        <v>7.28418220455689</v>
      </c>
      <c r="U340" s="208">
        <f t="shared" si="189"/>
        <v>130.84112149532709</v>
      </c>
      <c r="V340" s="208">
        <f t="shared" si="194"/>
        <v>65.618258496719321</v>
      </c>
      <c r="W340" s="155">
        <f t="shared" si="184"/>
        <v>130.84112149532709</v>
      </c>
      <c r="X340" s="155">
        <f t="shared" si="215"/>
        <v>6.8429188122336218</v>
      </c>
      <c r="Y340" s="208">
        <f t="shared" si="190"/>
        <v>130.84112149532709</v>
      </c>
      <c r="Z340" s="208">
        <f t="shared" si="195"/>
        <v>65.618258496719321</v>
      </c>
    </row>
    <row r="341" spans="1:26">
      <c r="A341" s="150">
        <v>2.1800000000000002</v>
      </c>
      <c r="B341" s="151">
        <f t="shared" si="185"/>
        <v>2.0639312349825412</v>
      </c>
      <c r="C341" s="152">
        <f t="shared" si="176"/>
        <v>6.8428571428571434</v>
      </c>
      <c r="D341" s="152">
        <f t="shared" si="177"/>
        <v>7.1428571428571432</v>
      </c>
      <c r="E341" s="153">
        <f t="shared" si="178"/>
        <v>130.84112149532709</v>
      </c>
      <c r="F341" s="154">
        <f t="shared" si="210"/>
        <v>66.88303177380763</v>
      </c>
      <c r="G341" s="155">
        <f t="shared" si="179"/>
        <v>130.84112149532709</v>
      </c>
      <c r="H341" s="155">
        <f t="shared" si="211"/>
        <v>11.931003762980229</v>
      </c>
      <c r="I341" s="208">
        <f t="shared" si="186"/>
        <v>83.815244707475586</v>
      </c>
      <c r="J341" s="208">
        <f t="shared" ref="J341" si="231">0.5*$A$3*$B341*$B341*I341*0.001</f>
        <v>42.844463658160869</v>
      </c>
      <c r="K341" s="155">
        <f t="shared" si="181"/>
        <v>130.84112149532709</v>
      </c>
      <c r="L341" s="155">
        <f t="shared" si="212"/>
        <v>8.2106770789656665</v>
      </c>
      <c r="M341" s="208">
        <f t="shared" si="187"/>
        <v>121.79263541636864</v>
      </c>
      <c r="N341" s="208">
        <f t="shared" si="192"/>
        <v>62.257649669104048</v>
      </c>
      <c r="O341" s="155">
        <f t="shared" si="182"/>
        <v>130.84112149532709</v>
      </c>
      <c r="P341" s="155">
        <f t="shared" si="213"/>
        <v>7.8234090301835506</v>
      </c>
      <c r="Q341" s="208">
        <f t="shared" si="188"/>
        <v>127.82151567710352</v>
      </c>
      <c r="R341" s="208">
        <f t="shared" si="193"/>
        <v>65.339477350118031</v>
      </c>
      <c r="S341" s="155">
        <f t="shared" si="183"/>
        <v>130.84112149532709</v>
      </c>
      <c r="T341" s="155">
        <f t="shared" si="214"/>
        <v>7.3492517434625908</v>
      </c>
      <c r="U341" s="208">
        <f t="shared" si="189"/>
        <v>130.84112149532709</v>
      </c>
      <c r="V341" s="208">
        <f t="shared" si="194"/>
        <v>66.88303177380763</v>
      </c>
      <c r="W341" s="155">
        <f t="shared" si="184"/>
        <v>130.84112149532709</v>
      </c>
      <c r="X341" s="155">
        <f t="shared" si="215"/>
        <v>6.9037560347585574</v>
      </c>
      <c r="Y341" s="208">
        <f t="shared" si="190"/>
        <v>130.84112149532709</v>
      </c>
      <c r="Z341" s="208">
        <f t="shared" si="195"/>
        <v>66.88303177380763</v>
      </c>
    </row>
    <row r="342" spans="1:26">
      <c r="A342" s="150">
        <v>2.2000000000000002</v>
      </c>
      <c r="B342" s="151">
        <f t="shared" si="185"/>
        <v>2.083539078119796</v>
      </c>
      <c r="C342" s="152">
        <f t="shared" si="176"/>
        <v>6.8428571428571434</v>
      </c>
      <c r="D342" s="152">
        <f t="shared" si="177"/>
        <v>7.1428571428571432</v>
      </c>
      <c r="E342" s="153">
        <f t="shared" si="178"/>
        <v>130.84112149532709</v>
      </c>
      <c r="F342" s="154">
        <f t="shared" ref="F342:F359" si="232">(0.5*Lm*$B342*$B342*$E342*0.001)</f>
        <v>68.15987804941912</v>
      </c>
      <c r="G342" s="155">
        <f t="shared" si="179"/>
        <v>130.84112149532709</v>
      </c>
      <c r="H342" s="155">
        <f t="shared" ref="H342:H359" si="233">($B342*Lm/G$211)+($B342*Lm/VOR)+0.5</f>
        <v>12.039601048048102</v>
      </c>
      <c r="I342" s="208">
        <f t="shared" si="186"/>
        <v>83.05923061812112</v>
      </c>
      <c r="J342" s="208">
        <f>0.5*Lm*$B342*$B342*I342*0.001</f>
        <v>43.268560870688532</v>
      </c>
      <c r="K342" s="155">
        <f t="shared" si="181"/>
        <v>130.84112149532709</v>
      </c>
      <c r="L342" s="155">
        <f t="shared" ref="L342:L359" si="234">($B342*Lm/L$211)+($B342*Lm/VOR)+0.5</f>
        <v>8.283930365743732</v>
      </c>
      <c r="M342" s="208">
        <f t="shared" si="187"/>
        <v>120.7156453336773</v>
      </c>
      <c r="N342" s="208">
        <f t="shared" si="192"/>
        <v>62.885150865160014</v>
      </c>
      <c r="O342" s="155">
        <f t="shared" si="182"/>
        <v>130.84112149532709</v>
      </c>
      <c r="P342" s="155">
        <f t="shared" ref="P342:P359" si="235">($B342*Lm/P$211)+($B342*Lm/VOR)+0.5</f>
        <v>7.8929831773546937</v>
      </c>
      <c r="Q342" s="208">
        <f t="shared" si="188"/>
        <v>126.69480949472219</v>
      </c>
      <c r="R342" s="208">
        <f t="shared" si="193"/>
        <v>65.99991398700341</v>
      </c>
      <c r="S342" s="155">
        <f t="shared" si="183"/>
        <v>130.84112149532709</v>
      </c>
      <c r="T342" s="155">
        <f t="shared" ref="T342:T359" si="236">($B342*Lm/T$211)+($B342*Lm/VOR)+0.5</f>
        <v>7.4143212823682898</v>
      </c>
      <c r="U342" s="208">
        <f t="shared" si="189"/>
        <v>130.84112149532709</v>
      </c>
      <c r="V342" s="208">
        <f t="shared" si="194"/>
        <v>68.15987804941912</v>
      </c>
      <c r="W342" s="155">
        <f t="shared" si="184"/>
        <v>130.84112149532709</v>
      </c>
      <c r="X342" s="155">
        <f t="shared" ref="X342:X359" si="237">($B342*Lm/X$211)+($B342*Lm/VOR)+0.5</f>
        <v>6.9645932572834912</v>
      </c>
      <c r="Y342" s="208">
        <f t="shared" si="190"/>
        <v>130.84112149532709</v>
      </c>
      <c r="Z342" s="208">
        <f t="shared" si="195"/>
        <v>68.15987804941912</v>
      </c>
    </row>
    <row r="343" spans="1:26">
      <c r="A343" s="150">
        <v>2.25</v>
      </c>
      <c r="B343" s="151">
        <f t="shared" si="185"/>
        <v>2.1325586859629331</v>
      </c>
      <c r="C343" s="152">
        <f t="shared" ref="C343:C359" si="238">IF($A343&lt;$A$13,$H$13,IF($A343&gt;$B$13,$F$13,$F$13*($G$13-(($A343-$A$13)*($G$13-1)/($B$13-$A$13)))))</f>
        <v>6.8428571428571434</v>
      </c>
      <c r="D343" s="152">
        <f t="shared" ref="D343:D359" si="239">$C343+$E$13</f>
        <v>7.1428571428571432</v>
      </c>
      <c r="E343" s="153">
        <f t="shared" ref="E343:E359" si="240">IF((1000/D343)&lt;$J$13,$J$13,1000/(D343+0.5))</f>
        <v>130.84112149532709</v>
      </c>
      <c r="F343" s="154">
        <f t="shared" si="232"/>
        <v>71.404813106986893</v>
      </c>
      <c r="G343" s="155">
        <f t="shared" ref="G343:G359" si="241">IF((1000/$D343)&lt;$J$13,$J$13,1000/($D343+0.5))</f>
        <v>130.84112149532709</v>
      </c>
      <c r="H343" s="155">
        <f t="shared" si="233"/>
        <v>12.311094260717782</v>
      </c>
      <c r="I343" s="208">
        <f t="shared" si="186"/>
        <v>81.227548000407907</v>
      </c>
      <c r="J343" s="208">
        <f t="shared" ref="J343" si="242">0.5*$A$3*$B343*$B343*I343*0.001</f>
        <v>44.32886097139636</v>
      </c>
      <c r="K343" s="155">
        <f t="shared" ref="K343:K359" si="243">IF((1000/$D343)&lt;$J$13,$J$13,1000/($D343+0.5))</f>
        <v>130.84112149532709</v>
      </c>
      <c r="L343" s="155">
        <f t="shared" si="234"/>
        <v>8.4670635826888976</v>
      </c>
      <c r="M343" s="208">
        <f t="shared" si="187"/>
        <v>118.10469949044939</v>
      </c>
      <c r="N343" s="208">
        <f t="shared" si="192"/>
        <v>64.454079098317564</v>
      </c>
      <c r="O343" s="155">
        <f t="shared" ref="O343:O359" si="244">IF((1000/$D343)&lt;$J$13,$J$13,1000/($D343+0.5))</f>
        <v>130.84112149532709</v>
      </c>
      <c r="P343" s="155">
        <f t="shared" si="235"/>
        <v>8.0669185452825509</v>
      </c>
      <c r="Q343" s="208">
        <f t="shared" si="188"/>
        <v>123.9630714487367</v>
      </c>
      <c r="R343" s="208">
        <f t="shared" si="193"/>
        <v>67.651208181376191</v>
      </c>
      <c r="S343" s="155">
        <f t="shared" ref="S343:S359" si="245">IF((1000/$D343)&lt;$J$13,$J$13,1000/($D343+0.5))</f>
        <v>130.84112149532709</v>
      </c>
      <c r="T343" s="155">
        <f t="shared" si="236"/>
        <v>7.576995129632536</v>
      </c>
      <c r="U343" s="208">
        <f t="shared" si="189"/>
        <v>130.84112149532709</v>
      </c>
      <c r="V343" s="208">
        <f t="shared" si="194"/>
        <v>71.404813106986893</v>
      </c>
      <c r="W343" s="155">
        <f t="shared" ref="W343:W359" si="246">IF((1000/$D343)&lt;$J$13,$J$13,1000/($D343+0.5))</f>
        <v>130.84112149532709</v>
      </c>
      <c r="X343" s="155">
        <f t="shared" si="237"/>
        <v>7.1166863135958263</v>
      </c>
      <c r="Y343" s="208">
        <f t="shared" si="190"/>
        <v>130.84112149532709</v>
      </c>
      <c r="Z343" s="208">
        <f t="shared" si="195"/>
        <v>71.404813106986893</v>
      </c>
    </row>
    <row r="344" spans="1:26">
      <c r="A344" s="150">
        <v>2.2999999999999998</v>
      </c>
      <c r="B344" s="151">
        <f t="shared" ref="B344:B359" si="247">(MIN($A344*$B$16,$E$16)-$E$23)/$E$3</f>
        <v>2.1815782938060702</v>
      </c>
      <c r="C344" s="152">
        <f t="shared" si="238"/>
        <v>6.8428571428571434</v>
      </c>
      <c r="D344" s="152">
        <f t="shared" si="239"/>
        <v>7.1428571428571432</v>
      </c>
      <c r="E344" s="153">
        <f t="shared" si="240"/>
        <v>130.84112149532709</v>
      </c>
      <c r="F344" s="154">
        <f t="shared" si="232"/>
        <v>74.725204405324774</v>
      </c>
      <c r="G344" s="155">
        <f t="shared" si="241"/>
        <v>130.84112149532709</v>
      </c>
      <c r="H344" s="155">
        <f t="shared" si="233"/>
        <v>12.582587473387466</v>
      </c>
      <c r="I344" s="208">
        <f t="shared" ref="I344:I359" si="248">MIN(G344,1000/H344)</f>
        <v>79.474909442515596</v>
      </c>
      <c r="J344" s="208">
        <f>0.5*Lm*$B344*$B344*I344*0.001</f>
        <v>45.389238377926574</v>
      </c>
      <c r="K344" s="155">
        <f t="shared" si="243"/>
        <v>130.84112149532709</v>
      </c>
      <c r="L344" s="155">
        <f t="shared" si="234"/>
        <v>8.650196799634065</v>
      </c>
      <c r="M344" s="208">
        <f t="shared" ref="M344:M359" si="249">MIN(K344,1000/L344)</f>
        <v>115.60430625604999</v>
      </c>
      <c r="N344" s="208">
        <f t="shared" si="192"/>
        <v>66.023244958410274</v>
      </c>
      <c r="O344" s="155">
        <f t="shared" si="244"/>
        <v>130.84112149532709</v>
      </c>
      <c r="P344" s="155">
        <f t="shared" si="235"/>
        <v>8.2408539132104099</v>
      </c>
      <c r="Q344" s="208">
        <f t="shared" ref="Q344:Q359" si="250">MIN(O344,1000/P344)</f>
        <v>121.34664811822002</v>
      </c>
      <c r="R344" s="208">
        <f t="shared" si="193"/>
        <v>69.302777146089014</v>
      </c>
      <c r="S344" s="155">
        <f t="shared" si="245"/>
        <v>130.84112149532709</v>
      </c>
      <c r="T344" s="155">
        <f t="shared" si="236"/>
        <v>7.7396689768967839</v>
      </c>
      <c r="U344" s="208">
        <f t="shared" ref="U344:U359" si="251">MIN(S344,1000/T344)</f>
        <v>129.20449220567951</v>
      </c>
      <c r="V344" s="208">
        <f t="shared" si="194"/>
        <v>73.790502403332042</v>
      </c>
      <c r="W344" s="155">
        <f t="shared" si="246"/>
        <v>130.84112149532709</v>
      </c>
      <c r="X344" s="155">
        <f t="shared" si="237"/>
        <v>7.2687793699081613</v>
      </c>
      <c r="Y344" s="208">
        <f t="shared" ref="Y344:Y359" si="252">MIN(W344,1000/X344)</f>
        <v>130.84112149532709</v>
      </c>
      <c r="Z344" s="208">
        <f t="shared" si="195"/>
        <v>74.725204405324774</v>
      </c>
    </row>
    <row r="345" spans="1:26">
      <c r="A345" s="150">
        <v>2.35</v>
      </c>
      <c r="B345" s="151">
        <f t="shared" si="247"/>
        <v>2.2305979016492077</v>
      </c>
      <c r="C345" s="152">
        <f t="shared" si="238"/>
        <v>6.8428571428571434</v>
      </c>
      <c r="D345" s="152">
        <f t="shared" si="239"/>
        <v>7.1428571428571432</v>
      </c>
      <c r="E345" s="153">
        <f t="shared" si="240"/>
        <v>130.84112149532709</v>
      </c>
      <c r="F345" s="154">
        <f t="shared" si="232"/>
        <v>78.12105194443275</v>
      </c>
      <c r="G345" s="155">
        <f t="shared" si="241"/>
        <v>130.84112149532709</v>
      </c>
      <c r="H345" s="155">
        <f t="shared" si="233"/>
        <v>12.854080686057152</v>
      </c>
      <c r="I345" s="208">
        <f t="shared" si="248"/>
        <v>77.796306435566578</v>
      </c>
      <c r="J345" s="208">
        <f t="shared" ref="J345" si="253">0.5*$A$3*$B345*$B345*I345*0.001</f>
        <v>46.449688191911136</v>
      </c>
      <c r="K345" s="155">
        <f t="shared" si="243"/>
        <v>130.84112149532709</v>
      </c>
      <c r="L345" s="155">
        <f t="shared" si="234"/>
        <v>8.8333300165792323</v>
      </c>
      <c r="M345" s="208">
        <f t="shared" si="249"/>
        <v>113.20758967717781</v>
      </c>
      <c r="N345" s="208">
        <f t="shared" ref="N345:N359" si="254">0.5*$A$3*$B345*$B345*M345*0.001</f>
        <v>67.59263366594341</v>
      </c>
      <c r="O345" s="155">
        <f t="shared" si="244"/>
        <v>130.84112149532709</v>
      </c>
      <c r="P345" s="155">
        <f t="shared" si="235"/>
        <v>8.414789281138269</v>
      </c>
      <c r="Q345" s="208">
        <f t="shared" si="250"/>
        <v>118.83838876886647</v>
      </c>
      <c r="R345" s="208">
        <f t="shared" ref="R345:R359" si="255">0.5*$A$3*$B345*$B345*Q345*0.001</f>
        <v>70.954603842469169</v>
      </c>
      <c r="S345" s="155">
        <f t="shared" si="245"/>
        <v>130.84112149532709</v>
      </c>
      <c r="T345" s="155">
        <f t="shared" si="236"/>
        <v>7.9023428241610336</v>
      </c>
      <c r="U345" s="208">
        <f t="shared" si="251"/>
        <v>126.54475036726426</v>
      </c>
      <c r="V345" s="208">
        <f t="shared" ref="V345:V359" si="256">0.5*$A$3*$B345*$B345*U345*0.001</f>
        <v>75.55582605648479</v>
      </c>
      <c r="W345" s="155">
        <f t="shared" si="246"/>
        <v>130.84112149532709</v>
      </c>
      <c r="X345" s="155">
        <f t="shared" si="237"/>
        <v>7.4208724262204981</v>
      </c>
      <c r="Y345" s="208">
        <f t="shared" si="252"/>
        <v>130.84112149532709</v>
      </c>
      <c r="Z345" s="208">
        <f t="shared" ref="Z345:Z359" si="257">0.5*$A$3*$B345*$B345*Y345*0.001</f>
        <v>78.12105194443275</v>
      </c>
    </row>
    <row r="346" spans="1:26">
      <c r="A346" s="150">
        <v>2.4</v>
      </c>
      <c r="B346" s="151">
        <f t="shared" si="247"/>
        <v>2.2796175094923448</v>
      </c>
      <c r="C346" s="152">
        <f t="shared" si="238"/>
        <v>6.8428571428571434</v>
      </c>
      <c r="D346" s="152">
        <f t="shared" si="239"/>
        <v>7.1428571428571432</v>
      </c>
      <c r="E346" s="153">
        <f t="shared" si="240"/>
        <v>130.84112149532709</v>
      </c>
      <c r="F346" s="154">
        <f t="shared" si="232"/>
        <v>81.592355724310778</v>
      </c>
      <c r="G346" s="155">
        <f t="shared" si="241"/>
        <v>130.84112149532709</v>
      </c>
      <c r="H346" s="155">
        <f t="shared" si="233"/>
        <v>13.125573898726831</v>
      </c>
      <c r="I346" s="208">
        <f t="shared" si="248"/>
        <v>76.187144860538183</v>
      </c>
      <c r="J346" s="208">
        <f>0.5*Lm*$B346*$B346*I346*0.001</f>
        <v>47.510205920259082</v>
      </c>
      <c r="K346" s="155">
        <f t="shared" si="243"/>
        <v>130.84112149532709</v>
      </c>
      <c r="L346" s="155">
        <f t="shared" si="234"/>
        <v>9.0164632335243979</v>
      </c>
      <c r="M346" s="208">
        <f t="shared" si="249"/>
        <v>110.90823242996969</v>
      </c>
      <c r="N346" s="208">
        <f t="shared" si="254"/>
        <v>69.162231642166233</v>
      </c>
      <c r="O346" s="155">
        <f t="shared" si="244"/>
        <v>130.84112149532709</v>
      </c>
      <c r="P346" s="155">
        <f t="shared" si="235"/>
        <v>8.5887246490661262</v>
      </c>
      <c r="Q346" s="208">
        <f t="shared" si="250"/>
        <v>116.43172192145344</v>
      </c>
      <c r="R346" s="208">
        <f t="shared" si="255"/>
        <v>72.606672612085077</v>
      </c>
      <c r="S346" s="155">
        <f t="shared" si="245"/>
        <v>130.84112149532709</v>
      </c>
      <c r="T346" s="155">
        <f t="shared" si="236"/>
        <v>8.0650166714252798</v>
      </c>
      <c r="U346" s="208">
        <f t="shared" si="251"/>
        <v>123.99230413782595</v>
      </c>
      <c r="V346" s="208">
        <f t="shared" si="256"/>
        <v>77.321441995219686</v>
      </c>
      <c r="W346" s="155">
        <f t="shared" si="246"/>
        <v>130.84112149532709</v>
      </c>
      <c r="X346" s="155">
        <f t="shared" si="237"/>
        <v>7.5729654825328323</v>
      </c>
      <c r="Y346" s="208">
        <f t="shared" si="252"/>
        <v>130.84112149532709</v>
      </c>
      <c r="Z346" s="208">
        <f t="shared" si="257"/>
        <v>81.592355724310778</v>
      </c>
    </row>
    <row r="347" spans="1:26">
      <c r="A347" s="150">
        <v>2.4500000000000002</v>
      </c>
      <c r="B347" s="151">
        <f t="shared" si="247"/>
        <v>2.3286371173354823</v>
      </c>
      <c r="C347" s="152">
        <f t="shared" si="238"/>
        <v>6.8428571428571434</v>
      </c>
      <c r="D347" s="152">
        <f t="shared" si="239"/>
        <v>7.1428571428571432</v>
      </c>
      <c r="E347" s="153">
        <f t="shared" si="240"/>
        <v>130.84112149532709</v>
      </c>
      <c r="F347" s="154">
        <f t="shared" si="232"/>
        <v>85.139115744958943</v>
      </c>
      <c r="G347" s="155">
        <f t="shared" si="241"/>
        <v>130.84112149532709</v>
      </c>
      <c r="H347" s="155">
        <f t="shared" si="233"/>
        <v>13.397067111396519</v>
      </c>
      <c r="I347" s="208">
        <f t="shared" si="248"/>
        <v>74.643202999955662</v>
      </c>
      <c r="J347" s="208">
        <f t="shared" ref="J347" si="258">0.5*$A$3*$B347*$B347*I347*0.001</f>
        <v>48.570787434091656</v>
      </c>
      <c r="K347" s="155">
        <f t="shared" si="243"/>
        <v>130.84112149532709</v>
      </c>
      <c r="L347" s="155">
        <f t="shared" si="234"/>
        <v>9.1995964504695671</v>
      </c>
      <c r="M347" s="208">
        <f t="shared" si="249"/>
        <v>108.70042021777573</v>
      </c>
      <c r="N347" s="208">
        <f t="shared" si="254"/>
        <v>70.732026389558342</v>
      </c>
      <c r="O347" s="155">
        <f t="shared" si="244"/>
        <v>130.84112149532709</v>
      </c>
      <c r="P347" s="155">
        <f t="shared" si="235"/>
        <v>8.762660016993987</v>
      </c>
      <c r="Q347" s="208">
        <f t="shared" si="250"/>
        <v>114.12059786190906</v>
      </c>
      <c r="R347" s="208">
        <f t="shared" si="255"/>
        <v>74.25896903976016</v>
      </c>
      <c r="S347" s="155">
        <f t="shared" si="245"/>
        <v>130.84112149532709</v>
      </c>
      <c r="T347" s="155">
        <f t="shared" si="236"/>
        <v>8.2276905186895295</v>
      </c>
      <c r="U347" s="208">
        <f t="shared" si="251"/>
        <v>121.54078932945519</v>
      </c>
      <c r="V347" s="208">
        <f t="shared" si="256"/>
        <v>79.087332882756783</v>
      </c>
      <c r="W347" s="155">
        <f t="shared" si="246"/>
        <v>130.84112149532709</v>
      </c>
      <c r="X347" s="155">
        <f t="shared" si="237"/>
        <v>7.72505853884517</v>
      </c>
      <c r="Y347" s="208">
        <f t="shared" si="252"/>
        <v>129.44885724445157</v>
      </c>
      <c r="Z347" s="208">
        <f t="shared" si="257"/>
        <v>84.23316090562281</v>
      </c>
    </row>
    <row r="348" spans="1:26">
      <c r="A348" s="150">
        <v>2.5</v>
      </c>
      <c r="B348" s="151">
        <f t="shared" si="247"/>
        <v>2.3776567251786194</v>
      </c>
      <c r="C348" s="152">
        <f t="shared" si="238"/>
        <v>6.8428571428571434</v>
      </c>
      <c r="D348" s="152">
        <f t="shared" si="239"/>
        <v>7.1428571428571432</v>
      </c>
      <c r="E348" s="153">
        <f t="shared" si="240"/>
        <v>130.84112149532709</v>
      </c>
      <c r="F348" s="154">
        <f t="shared" si="232"/>
        <v>88.76133200637716</v>
      </c>
      <c r="G348" s="155">
        <f t="shared" si="241"/>
        <v>130.84112149532709</v>
      </c>
      <c r="H348" s="155">
        <f t="shared" si="233"/>
        <v>13.668560324066201</v>
      </c>
      <c r="I348" s="208">
        <f t="shared" si="248"/>
        <v>73.160594553568487</v>
      </c>
      <c r="J348" s="208">
        <f>0.5*Lm*$B348*$B348*I348*0.001</f>
        <v>49.631428932571204</v>
      </c>
      <c r="K348" s="155">
        <f t="shared" si="243"/>
        <v>130.84112149532709</v>
      </c>
      <c r="L348" s="155">
        <f t="shared" si="234"/>
        <v>9.3827296674147327</v>
      </c>
      <c r="M348" s="208">
        <f t="shared" si="249"/>
        <v>106.57879268043909</v>
      </c>
      <c r="N348" s="208">
        <f t="shared" si="254"/>
        <v>72.302006386311461</v>
      </c>
      <c r="O348" s="155">
        <f t="shared" si="244"/>
        <v>130.84112149532709</v>
      </c>
      <c r="P348" s="155">
        <f t="shared" si="235"/>
        <v>8.9365953849218442</v>
      </c>
      <c r="Q348" s="208">
        <f t="shared" si="250"/>
        <v>111.89943786503271</v>
      </c>
      <c r="R348" s="208">
        <f t="shared" si="255"/>
        <v>75.911479832583581</v>
      </c>
      <c r="S348" s="155">
        <f t="shared" si="245"/>
        <v>130.84112149532709</v>
      </c>
      <c r="T348" s="155">
        <f t="shared" si="236"/>
        <v>8.3903643659537757</v>
      </c>
      <c r="U348" s="208">
        <f t="shared" si="251"/>
        <v>119.18433531418214</v>
      </c>
      <c r="V348" s="208">
        <f t="shared" si="256"/>
        <v>80.853482726830066</v>
      </c>
      <c r="W348" s="155">
        <f t="shared" si="246"/>
        <v>130.84112149532709</v>
      </c>
      <c r="X348" s="155">
        <f t="shared" si="237"/>
        <v>7.8771515951575051</v>
      </c>
      <c r="Y348" s="208">
        <f t="shared" si="252"/>
        <v>126.94944205653628</v>
      </c>
      <c r="Z348" s="208">
        <f t="shared" si="257"/>
        <v>86.121254890091976</v>
      </c>
    </row>
    <row r="349" spans="1:26">
      <c r="A349" s="150">
        <v>2.6</v>
      </c>
      <c r="B349" s="151">
        <f t="shared" si="247"/>
        <v>2.475695940864894</v>
      </c>
      <c r="C349" s="152">
        <f t="shared" si="238"/>
        <v>6.8428571428571434</v>
      </c>
      <c r="D349" s="152">
        <f t="shared" si="239"/>
        <v>7.1428571428571432</v>
      </c>
      <c r="E349" s="153">
        <f t="shared" si="240"/>
        <v>130.84112149532709</v>
      </c>
      <c r="F349" s="154">
        <f t="shared" si="232"/>
        <v>96.232133251523848</v>
      </c>
      <c r="G349" s="155">
        <f t="shared" si="241"/>
        <v>130.84112149532709</v>
      </c>
      <c r="H349" s="155">
        <f t="shared" si="233"/>
        <v>14.211546749405565</v>
      </c>
      <c r="I349" s="208">
        <f t="shared" si="248"/>
        <v>70.36531755713554</v>
      </c>
      <c r="J349" s="208">
        <f t="shared" ref="J349" si="259">0.5*$A$3*$B349*$B349*I349*0.001</f>
        <v>51.752878132322451</v>
      </c>
      <c r="K349" s="155">
        <f t="shared" si="243"/>
        <v>130.84112149532709</v>
      </c>
      <c r="L349" s="155">
        <f t="shared" si="234"/>
        <v>9.7489961013050674</v>
      </c>
      <c r="M349" s="208">
        <f t="shared" si="249"/>
        <v>102.57466405860323</v>
      </c>
      <c r="N349" s="208">
        <f t="shared" si="254"/>
        <v>75.442480369371765</v>
      </c>
      <c r="O349" s="155">
        <f t="shared" si="244"/>
        <v>130.84112149532709</v>
      </c>
      <c r="P349" s="155">
        <f t="shared" si="235"/>
        <v>9.2844661207775623</v>
      </c>
      <c r="Q349" s="208">
        <f t="shared" si="250"/>
        <v>107.70678539739787</v>
      </c>
      <c r="R349" s="208">
        <f t="shared" si="255"/>
        <v>79.217096322625508</v>
      </c>
      <c r="S349" s="155">
        <f t="shared" si="245"/>
        <v>130.84112149532709</v>
      </c>
      <c r="T349" s="155">
        <f t="shared" si="236"/>
        <v>8.7157120604822715</v>
      </c>
      <c r="U349" s="208">
        <f t="shared" si="251"/>
        <v>114.73531859021355</v>
      </c>
      <c r="V349" s="208">
        <f t="shared" si="256"/>
        <v>84.386501285253829</v>
      </c>
      <c r="W349" s="155">
        <f t="shared" si="246"/>
        <v>130.84112149532709</v>
      </c>
      <c r="X349" s="155">
        <f t="shared" si="237"/>
        <v>8.1813377077821752</v>
      </c>
      <c r="Y349" s="208">
        <f t="shared" si="252"/>
        <v>122.22940009538897</v>
      </c>
      <c r="Z349" s="208">
        <f t="shared" si="257"/>
        <v>89.898311653140183</v>
      </c>
    </row>
    <row r="350" spans="1:26">
      <c r="A350" s="150">
        <v>2.7</v>
      </c>
      <c r="B350" s="151">
        <f t="shared" si="247"/>
        <v>2.5737351565511686</v>
      </c>
      <c r="C350" s="152">
        <f t="shared" si="238"/>
        <v>6.8428571428571434</v>
      </c>
      <c r="D350" s="152">
        <f t="shared" si="239"/>
        <v>7.1428571428571432</v>
      </c>
      <c r="E350" s="153">
        <f t="shared" si="240"/>
        <v>130.84112149532709</v>
      </c>
      <c r="F350" s="154">
        <f t="shared" si="232"/>
        <v>104.0047594597509</v>
      </c>
      <c r="G350" s="155">
        <f t="shared" si="241"/>
        <v>130.84112149532709</v>
      </c>
      <c r="H350" s="155">
        <f t="shared" si="233"/>
        <v>14.754533174744935</v>
      </c>
      <c r="I350" s="208">
        <f t="shared" si="248"/>
        <v>67.775780375869957</v>
      </c>
      <c r="J350" s="208">
        <f>0.5*Lm*$B350*$B350*I350*0.001</f>
        <v>53.874528547517926</v>
      </c>
      <c r="K350" s="155">
        <f t="shared" si="243"/>
        <v>130.84112149532709</v>
      </c>
      <c r="L350" s="155">
        <f t="shared" si="234"/>
        <v>10.115262535195402</v>
      </c>
      <c r="M350" s="208">
        <f t="shared" si="249"/>
        <v>98.860508713497509</v>
      </c>
      <c r="N350" s="208">
        <f t="shared" si="254"/>
        <v>78.58357763452166</v>
      </c>
      <c r="O350" s="155">
        <f t="shared" si="244"/>
        <v>130.84112149532709</v>
      </c>
      <c r="P350" s="155">
        <f t="shared" si="235"/>
        <v>9.6323368566332803</v>
      </c>
      <c r="Q350" s="208">
        <f t="shared" si="250"/>
        <v>103.81696725144667</v>
      </c>
      <c r="R350" s="208">
        <f t="shared" si="255"/>
        <v>82.523434402181991</v>
      </c>
      <c r="S350" s="155">
        <f t="shared" si="245"/>
        <v>130.84112149532709</v>
      </c>
      <c r="T350" s="155">
        <f t="shared" si="236"/>
        <v>9.0410597550107692</v>
      </c>
      <c r="U350" s="208">
        <f t="shared" si="251"/>
        <v>110.606502677496</v>
      </c>
      <c r="V350" s="208">
        <f t="shared" si="256"/>
        <v>87.920392107523398</v>
      </c>
      <c r="W350" s="155">
        <f t="shared" si="246"/>
        <v>130.84112149532709</v>
      </c>
      <c r="X350" s="155">
        <f t="shared" si="237"/>
        <v>8.4855238204068488</v>
      </c>
      <c r="Y350" s="208">
        <f t="shared" si="252"/>
        <v>117.847762986075</v>
      </c>
      <c r="Z350" s="208">
        <f t="shared" si="257"/>
        <v>93.676422994235864</v>
      </c>
    </row>
    <row r="351" spans="1:26">
      <c r="A351" s="150">
        <v>2.8</v>
      </c>
      <c r="B351" s="151">
        <f t="shared" si="247"/>
        <v>2.6717743722374427</v>
      </c>
      <c r="C351" s="152">
        <f t="shared" si="238"/>
        <v>6.8428571428571434</v>
      </c>
      <c r="D351" s="152">
        <f t="shared" si="239"/>
        <v>7.1428571428571432</v>
      </c>
      <c r="E351" s="153">
        <f t="shared" si="240"/>
        <v>130.84112149532709</v>
      </c>
      <c r="F351" s="154">
        <f t="shared" si="232"/>
        <v>112.07921063105823</v>
      </c>
      <c r="G351" s="155">
        <f t="shared" si="241"/>
        <v>130.84112149532709</v>
      </c>
      <c r="H351" s="155">
        <f t="shared" si="233"/>
        <v>15.297519600084296</v>
      </c>
      <c r="I351" s="208">
        <f t="shared" si="248"/>
        <v>65.370074766532056</v>
      </c>
      <c r="J351" s="208">
        <f t="shared" ref="J351" si="260">0.5*$A$3*$B351*$B351*I351*0.001</f>
        <v>55.996358751692888</v>
      </c>
      <c r="K351" s="155">
        <f t="shared" si="243"/>
        <v>130.84112149532709</v>
      </c>
      <c r="L351" s="155">
        <f t="shared" si="234"/>
        <v>10.481528969085733</v>
      </c>
      <c r="M351" s="208">
        <f t="shared" si="249"/>
        <v>95.405928176070901</v>
      </c>
      <c r="N351" s="208">
        <f t="shared" si="254"/>
        <v>81.725232841873492</v>
      </c>
      <c r="O351" s="155">
        <f t="shared" si="244"/>
        <v>130.84112149532709</v>
      </c>
      <c r="P351" s="155">
        <f t="shared" si="235"/>
        <v>9.9802075924889948</v>
      </c>
      <c r="Q351" s="208">
        <f t="shared" si="250"/>
        <v>100.19831659138934</v>
      </c>
      <c r="R351" s="208">
        <f t="shared" si="255"/>
        <v>85.830418615946073</v>
      </c>
      <c r="S351" s="155">
        <f t="shared" si="245"/>
        <v>130.84112149532709</v>
      </c>
      <c r="T351" s="155">
        <f t="shared" si="236"/>
        <v>9.3664074495392615</v>
      </c>
      <c r="U351" s="208">
        <f t="shared" si="251"/>
        <v>106.7645204831646</v>
      </c>
      <c r="V351" s="208">
        <f t="shared" si="256"/>
        <v>91.455064297839257</v>
      </c>
      <c r="W351" s="155">
        <f t="shared" si="246"/>
        <v>130.84112149532709</v>
      </c>
      <c r="X351" s="155">
        <f t="shared" si="237"/>
        <v>8.7897099330315172</v>
      </c>
      <c r="Y351" s="208">
        <f t="shared" si="252"/>
        <v>113.76939712674979</v>
      </c>
      <c r="Z351" s="208">
        <f t="shared" si="257"/>
        <v>97.455479425808065</v>
      </c>
    </row>
    <row r="352" spans="1:26">
      <c r="A352" s="150">
        <v>2.9</v>
      </c>
      <c r="B352" s="151">
        <f t="shared" si="247"/>
        <v>2.7698135879237169</v>
      </c>
      <c r="C352" s="152">
        <f t="shared" si="238"/>
        <v>6.8428571428571434</v>
      </c>
      <c r="D352" s="152">
        <f t="shared" si="239"/>
        <v>7.1428571428571432</v>
      </c>
      <c r="E352" s="153">
        <f t="shared" si="240"/>
        <v>130.84112149532709</v>
      </c>
      <c r="F352" s="154">
        <f t="shared" si="232"/>
        <v>120.45548676544593</v>
      </c>
      <c r="G352" s="155">
        <f t="shared" si="241"/>
        <v>130.84112149532709</v>
      </c>
      <c r="H352" s="155">
        <f t="shared" si="233"/>
        <v>15.840506025423664</v>
      </c>
      <c r="I352" s="208">
        <f t="shared" si="248"/>
        <v>63.129296399687099</v>
      </c>
      <c r="J352" s="208">
        <f>0.5*Lm*$B352*$B352*I352*0.001</f>
        <v>58.118350256238088</v>
      </c>
      <c r="K352" s="155">
        <f t="shared" si="243"/>
        <v>130.84112149532709</v>
      </c>
      <c r="L352" s="155">
        <f t="shared" si="234"/>
        <v>10.847795402976068</v>
      </c>
      <c r="M352" s="208">
        <f t="shared" si="249"/>
        <v>92.184629489384747</v>
      </c>
      <c r="N352" s="208">
        <f t="shared" si="254"/>
        <v>84.86738947611893</v>
      </c>
      <c r="O352" s="155">
        <f t="shared" si="244"/>
        <v>130.84112149532709</v>
      </c>
      <c r="P352" s="155">
        <f t="shared" si="235"/>
        <v>10.328078328344713</v>
      </c>
      <c r="Q352" s="208">
        <f t="shared" si="250"/>
        <v>96.823432995813718</v>
      </c>
      <c r="R352" s="208">
        <f t="shared" si="255"/>
        <v>89.137983674565291</v>
      </c>
      <c r="S352" s="155">
        <f t="shared" si="245"/>
        <v>130.84112149532709</v>
      </c>
      <c r="T352" s="155">
        <f t="shared" si="236"/>
        <v>9.6917551440677592</v>
      </c>
      <c r="U352" s="208">
        <f t="shared" si="251"/>
        <v>103.18048538525981</v>
      </c>
      <c r="V352" s="208">
        <f t="shared" si="256"/>
        <v>94.990439165720019</v>
      </c>
      <c r="W352" s="155">
        <f t="shared" si="246"/>
        <v>130.84112149532709</v>
      </c>
      <c r="X352" s="155">
        <f t="shared" si="237"/>
        <v>9.093896045656189</v>
      </c>
      <c r="Y352" s="208">
        <f t="shared" si="252"/>
        <v>109.96386971870679</v>
      </c>
      <c r="Z352" s="208">
        <f t="shared" si="257"/>
        <v>101.23538610949593</v>
      </c>
    </row>
    <row r="353" spans="1:26">
      <c r="A353" s="150">
        <v>3</v>
      </c>
      <c r="B353" s="151">
        <f t="shared" si="247"/>
        <v>2.867852803609992</v>
      </c>
      <c r="C353" s="152">
        <f t="shared" si="238"/>
        <v>6.8428571428571434</v>
      </c>
      <c r="D353" s="152">
        <f t="shared" si="239"/>
        <v>7.1428571428571432</v>
      </c>
      <c r="E353" s="153">
        <f t="shared" si="240"/>
        <v>130.84112149532709</v>
      </c>
      <c r="F353" s="154">
        <f t="shared" si="232"/>
        <v>129.13358786291403</v>
      </c>
      <c r="G353" s="155">
        <f t="shared" si="241"/>
        <v>130.84112149532709</v>
      </c>
      <c r="H353" s="155">
        <f t="shared" si="233"/>
        <v>16.383492450763033</v>
      </c>
      <c r="I353" s="208">
        <f t="shared" si="248"/>
        <v>61.037047076823157</v>
      </c>
      <c r="J353" s="208">
        <f t="shared" ref="J353" si="261">0.5*$A$3*$B353*$B353*I353*0.001</f>
        <v>60.240487023563617</v>
      </c>
      <c r="K353" s="155">
        <f t="shared" si="243"/>
        <v>130.84112149532709</v>
      </c>
      <c r="L353" s="155">
        <f t="shared" si="234"/>
        <v>11.214061836866403</v>
      </c>
      <c r="M353" s="208">
        <f t="shared" si="249"/>
        <v>89.173754750708113</v>
      </c>
      <c r="N353" s="208">
        <f t="shared" si="254"/>
        <v>88.009998405415487</v>
      </c>
      <c r="O353" s="155">
        <f t="shared" si="244"/>
        <v>130.84112149532709</v>
      </c>
      <c r="P353" s="155">
        <f t="shared" si="235"/>
        <v>10.675949064200429</v>
      </c>
      <c r="Q353" s="208">
        <f t="shared" si="250"/>
        <v>93.66848736224226</v>
      </c>
      <c r="R353" s="208">
        <f t="shared" si="255"/>
        <v>92.4460727983775</v>
      </c>
      <c r="S353" s="155">
        <f t="shared" si="245"/>
        <v>130.84112149532709</v>
      </c>
      <c r="T353" s="155">
        <f t="shared" si="236"/>
        <v>10.017102838596255</v>
      </c>
      <c r="U353" s="208">
        <f t="shared" si="251"/>
        <v>99.829263621709487</v>
      </c>
      <c r="V353" s="208">
        <f t="shared" si="256"/>
        <v>98.526448243906515</v>
      </c>
      <c r="W353" s="155">
        <f t="shared" si="246"/>
        <v>130.84112149532709</v>
      </c>
      <c r="X353" s="155">
        <f t="shared" si="237"/>
        <v>9.3980821582808609</v>
      </c>
      <c r="Y353" s="208">
        <f t="shared" si="252"/>
        <v>106.40468801593499</v>
      </c>
      <c r="Z353" s="208">
        <f t="shared" si="257"/>
        <v>105.01606048540654</v>
      </c>
    </row>
    <row r="354" spans="1:26">
      <c r="A354" s="150">
        <v>3.1</v>
      </c>
      <c r="B354" s="151">
        <f t="shared" si="247"/>
        <v>2.9658920192962666</v>
      </c>
      <c r="C354" s="152">
        <f t="shared" si="238"/>
        <v>6.8428571428571434</v>
      </c>
      <c r="D354" s="152">
        <f t="shared" si="239"/>
        <v>7.1428571428571432</v>
      </c>
      <c r="E354" s="153">
        <f t="shared" si="240"/>
        <v>130.84112149532709</v>
      </c>
      <c r="F354" s="154">
        <f t="shared" si="232"/>
        <v>138.11351392346242</v>
      </c>
      <c r="G354" s="155">
        <f t="shared" si="241"/>
        <v>130.84112149532709</v>
      </c>
      <c r="H354" s="155">
        <f t="shared" si="233"/>
        <v>16.926478876102401</v>
      </c>
      <c r="I354" s="208">
        <f t="shared" si="248"/>
        <v>59.079032758068017</v>
      </c>
      <c r="J354" s="208">
        <f>0.5*Lm*$B354*$B354*I354*0.001</f>
        <v>62.362755073966056</v>
      </c>
      <c r="K354" s="155">
        <f t="shared" si="243"/>
        <v>130.84112149532709</v>
      </c>
      <c r="L354" s="155">
        <f t="shared" si="234"/>
        <v>11.580328270756736</v>
      </c>
      <c r="M354" s="208">
        <f t="shared" si="249"/>
        <v>86.353337886392524</v>
      </c>
      <c r="N354" s="208">
        <f t="shared" si="254"/>
        <v>91.153016713752933</v>
      </c>
      <c r="O354" s="155">
        <f t="shared" si="244"/>
        <v>130.84112149532709</v>
      </c>
      <c r="P354" s="155">
        <f t="shared" si="235"/>
        <v>11.023819800056145</v>
      </c>
      <c r="Q354" s="208">
        <f t="shared" si="250"/>
        <v>90.71265841944431</v>
      </c>
      <c r="R354" s="208">
        <f t="shared" si="255"/>
        <v>95.754636374739917</v>
      </c>
      <c r="S354" s="155">
        <f t="shared" si="245"/>
        <v>130.84112149532709</v>
      </c>
      <c r="T354" s="155">
        <f t="shared" si="236"/>
        <v>10.342450533124751</v>
      </c>
      <c r="U354" s="208">
        <f t="shared" si="251"/>
        <v>96.688884012275892</v>
      </c>
      <c r="V354" s="208">
        <f t="shared" si="256"/>
        <v>102.06303168037611</v>
      </c>
      <c r="W354" s="155">
        <f t="shared" si="246"/>
        <v>130.84112149532709</v>
      </c>
      <c r="X354" s="155">
        <f t="shared" si="237"/>
        <v>9.7022682709055328</v>
      </c>
      <c r="Y354" s="208">
        <f t="shared" si="252"/>
        <v>103.06868168124441</v>
      </c>
      <c r="Z354" s="208">
        <f t="shared" si="257"/>
        <v>108.79743034733822</v>
      </c>
    </row>
    <row r="355" spans="1:26">
      <c r="A355" s="150">
        <v>3.2</v>
      </c>
      <c r="B355" s="151">
        <f t="shared" si="247"/>
        <v>3.0639312349825412</v>
      </c>
      <c r="C355" s="152">
        <f t="shared" si="238"/>
        <v>6.8428571428571434</v>
      </c>
      <c r="D355" s="152">
        <f t="shared" si="239"/>
        <v>7.1428571428571432</v>
      </c>
      <c r="E355" s="153">
        <f t="shared" si="240"/>
        <v>130.84112149532709</v>
      </c>
      <c r="F355" s="154">
        <f t="shared" si="232"/>
        <v>147.39526494709114</v>
      </c>
      <c r="G355" s="155">
        <f t="shared" si="241"/>
        <v>130.84112149532709</v>
      </c>
      <c r="H355" s="155">
        <f t="shared" si="233"/>
        <v>17.469465301441765</v>
      </c>
      <c r="I355" s="208">
        <f t="shared" si="248"/>
        <v>57.242736554591019</v>
      </c>
      <c r="J355" s="208">
        <f t="shared" ref="J355" si="262">0.5*$A$3*$B355*$B355*I355*0.001</f>
        <v>64.485142165812277</v>
      </c>
      <c r="K355" s="155">
        <f t="shared" si="243"/>
        <v>130.84112149532709</v>
      </c>
      <c r="L355" s="155">
        <f t="shared" si="234"/>
        <v>11.946594704647071</v>
      </c>
      <c r="M355" s="208">
        <f t="shared" si="249"/>
        <v>83.705861354031953</v>
      </c>
      <c r="N355" s="208">
        <f t="shared" si="254"/>
        <v>94.296406748108296</v>
      </c>
      <c r="O355" s="155">
        <f t="shared" si="244"/>
        <v>130.84112149532709</v>
      </c>
      <c r="P355" s="155">
        <f t="shared" si="235"/>
        <v>11.371690535911863</v>
      </c>
      <c r="Q355" s="208">
        <f t="shared" si="250"/>
        <v>87.937672665466437</v>
      </c>
      <c r="R355" s="208">
        <f t="shared" si="255"/>
        <v>99.06363086179995</v>
      </c>
      <c r="S355" s="155">
        <f t="shared" si="245"/>
        <v>130.84112149532709</v>
      </c>
      <c r="T355" s="155">
        <f t="shared" si="236"/>
        <v>10.667798227653247</v>
      </c>
      <c r="U355" s="208">
        <f t="shared" si="251"/>
        <v>93.740055694696508</v>
      </c>
      <c r="V355" s="208">
        <f t="shared" si="256"/>
        <v>105.60013692460083</v>
      </c>
      <c r="W355" s="155">
        <f t="shared" si="246"/>
        <v>130.84112149532709</v>
      </c>
      <c r="X355" s="155">
        <f t="shared" si="237"/>
        <v>10.006454383530205</v>
      </c>
      <c r="Y355" s="208">
        <f t="shared" si="252"/>
        <v>99.935497796893699</v>
      </c>
      <c r="Z355" s="208">
        <f t="shared" si="257"/>
        <v>112.57943226907196</v>
      </c>
    </row>
    <row r="356" spans="1:26" s="211" customFormat="1">
      <c r="A356" s="156">
        <v>3.3</v>
      </c>
      <c r="B356" s="157">
        <f t="shared" si="247"/>
        <v>3.1619704506688153</v>
      </c>
      <c r="C356" s="158">
        <f t="shared" si="238"/>
        <v>6.8428571428571434</v>
      </c>
      <c r="D356" s="158">
        <f t="shared" si="239"/>
        <v>7.1428571428571432</v>
      </c>
      <c r="E356" s="153">
        <f t="shared" si="240"/>
        <v>130.84112149532709</v>
      </c>
      <c r="F356" s="159">
        <f t="shared" si="232"/>
        <v>156.97884093380017</v>
      </c>
      <c r="G356" s="155">
        <f t="shared" si="241"/>
        <v>130.84112149532709</v>
      </c>
      <c r="H356" s="155">
        <f t="shared" si="233"/>
        <v>18.01245172678113</v>
      </c>
      <c r="I356" s="206">
        <f t="shared" si="248"/>
        <v>55.517150866985418</v>
      </c>
      <c r="J356" s="206">
        <f>0.5*Lm*$B356*$B356*I356*0.001</f>
        <v>66.607637533568081</v>
      </c>
      <c r="K356" s="155">
        <f t="shared" si="243"/>
        <v>130.84112149532709</v>
      </c>
      <c r="L356" s="155">
        <f t="shared" si="234"/>
        <v>12.312861138537404</v>
      </c>
      <c r="M356" s="206">
        <f t="shared" si="249"/>
        <v>81.215891964390821</v>
      </c>
      <c r="N356" s="206">
        <f t="shared" si="254"/>
        <v>97.440135335664607</v>
      </c>
      <c r="O356" s="155">
        <f t="shared" si="244"/>
        <v>130.84112149532709</v>
      </c>
      <c r="P356" s="155">
        <f t="shared" si="235"/>
        <v>11.71956127176758</v>
      </c>
      <c r="Q356" s="206">
        <f t="shared" si="250"/>
        <v>85.327426241543677</v>
      </c>
      <c r="R356" s="206">
        <f t="shared" si="255"/>
        <v>102.37301788750131</v>
      </c>
      <c r="S356" s="155">
        <f t="shared" si="245"/>
        <v>130.84112149532709</v>
      </c>
      <c r="T356" s="155">
        <f t="shared" si="236"/>
        <v>10.993145922181741</v>
      </c>
      <c r="U356" s="206">
        <f t="shared" si="251"/>
        <v>90.965771497876759</v>
      </c>
      <c r="V356" s="206">
        <f t="shared" si="256"/>
        <v>109.13771764709003</v>
      </c>
      <c r="W356" s="155">
        <f t="shared" si="246"/>
        <v>130.84112149532709</v>
      </c>
      <c r="X356" s="155">
        <f t="shared" si="237"/>
        <v>10.310640496154875</v>
      </c>
      <c r="Y356" s="206">
        <f t="shared" si="252"/>
        <v>96.98718526486573</v>
      </c>
      <c r="Z356" s="206">
        <f t="shared" si="257"/>
        <v>116.36201030922923</v>
      </c>
    </row>
    <row r="357" spans="1:26">
      <c r="A357" s="150">
        <v>3.4</v>
      </c>
      <c r="B357" s="151">
        <f t="shared" si="247"/>
        <v>3.2600096663550899</v>
      </c>
      <c r="C357" s="152">
        <f t="shared" si="238"/>
        <v>6.8428571428571434</v>
      </c>
      <c r="D357" s="152">
        <f t="shared" si="239"/>
        <v>7.1428571428571432</v>
      </c>
      <c r="E357" s="153">
        <f t="shared" si="240"/>
        <v>130.84112149532709</v>
      </c>
      <c r="F357" s="154">
        <f t="shared" si="232"/>
        <v>166.86424188358961</v>
      </c>
      <c r="G357" s="155">
        <f t="shared" si="241"/>
        <v>130.84112149532709</v>
      </c>
      <c r="H357" s="155">
        <f t="shared" si="233"/>
        <v>18.555438152120498</v>
      </c>
      <c r="I357" s="208">
        <f t="shared" si="248"/>
        <v>53.892556554139951</v>
      </c>
      <c r="J357" s="208">
        <f t="shared" ref="J357" si="263">0.5*$A$3*$B357*$B357*I357*0.001</f>
        <v>68.730231671823546</v>
      </c>
      <c r="K357" s="155">
        <f t="shared" si="243"/>
        <v>130.84112149532709</v>
      </c>
      <c r="L357" s="155">
        <f t="shared" si="234"/>
        <v>12.679127572427738</v>
      </c>
      <c r="M357" s="208">
        <f t="shared" si="249"/>
        <v>78.869779824174827</v>
      </c>
      <c r="N357" s="208">
        <f t="shared" si="254"/>
        <v>100.58417313670448</v>
      </c>
      <c r="O357" s="155">
        <f t="shared" si="244"/>
        <v>130.84112149532709</v>
      </c>
      <c r="P357" s="155">
        <f t="shared" si="235"/>
        <v>12.067432007623298</v>
      </c>
      <c r="Q357" s="208">
        <f t="shared" si="250"/>
        <v>82.867672207995454</v>
      </c>
      <c r="R357" s="208">
        <f t="shared" si="255"/>
        <v>105.68276350442943</v>
      </c>
      <c r="S357" s="155">
        <f t="shared" si="245"/>
        <v>130.84112149532709</v>
      </c>
      <c r="T357" s="155">
        <f t="shared" si="236"/>
        <v>11.318493616710237</v>
      </c>
      <c r="U357" s="208">
        <f t="shared" si="251"/>
        <v>88.350979720802613</v>
      </c>
      <c r="V357" s="208">
        <f t="shared" si="256"/>
        <v>112.6757328452787</v>
      </c>
      <c r="W357" s="155">
        <f t="shared" si="246"/>
        <v>130.84112149532709</v>
      </c>
      <c r="X357" s="155">
        <f t="shared" si="237"/>
        <v>10.614826608779545</v>
      </c>
      <c r="Y357" s="208">
        <f t="shared" si="252"/>
        <v>94.207850665492543</v>
      </c>
      <c r="Z357" s="208">
        <f t="shared" si="257"/>
        <v>120.14511493881734</v>
      </c>
    </row>
    <row r="358" spans="1:26">
      <c r="A358" s="150">
        <v>3.5</v>
      </c>
      <c r="B358" s="151">
        <f t="shared" si="247"/>
        <v>3.3384410389041097</v>
      </c>
      <c r="C358" s="152">
        <f t="shared" si="238"/>
        <v>6.8428571428571434</v>
      </c>
      <c r="D358" s="152">
        <f t="shared" si="239"/>
        <v>7.1428571428571432</v>
      </c>
      <c r="E358" s="153">
        <f t="shared" si="240"/>
        <v>130.84112149532709</v>
      </c>
      <c r="F358" s="154">
        <f t="shared" si="232"/>
        <v>174.98987661683901</v>
      </c>
      <c r="G358" s="155">
        <f t="shared" si="241"/>
        <v>130.84112149532709</v>
      </c>
      <c r="H358" s="155">
        <f t="shared" si="233"/>
        <v>18.989827292391993</v>
      </c>
      <c r="I358" s="208">
        <f t="shared" si="248"/>
        <v>52.659773288229744</v>
      </c>
      <c r="J358" s="208">
        <f>0.5*Lm*$B358*$B358*I358*0.001</f>
        <v>70.428372403603589</v>
      </c>
      <c r="K358" s="155">
        <f t="shared" si="243"/>
        <v>130.84112149532709</v>
      </c>
      <c r="L358" s="155">
        <f t="shared" si="234"/>
        <v>12.972140719540006</v>
      </c>
      <c r="M358" s="208">
        <f t="shared" si="249"/>
        <v>77.08827876756645</v>
      </c>
      <c r="N358" s="208">
        <f t="shared" si="254"/>
        <v>103.09960841036295</v>
      </c>
      <c r="O358" s="155">
        <f t="shared" si="244"/>
        <v>130.84112149532709</v>
      </c>
      <c r="P358" s="155">
        <f t="shared" si="235"/>
        <v>12.345728596307872</v>
      </c>
      <c r="Q358" s="208">
        <f t="shared" si="250"/>
        <v>80.999674680930639</v>
      </c>
      <c r="R358" s="208">
        <f t="shared" si="255"/>
        <v>108.33079781363975</v>
      </c>
      <c r="S358" s="155">
        <f t="shared" si="245"/>
        <v>130.84112149532709</v>
      </c>
      <c r="T358" s="155">
        <f t="shared" si="236"/>
        <v>11.578771772333035</v>
      </c>
      <c r="U358" s="208">
        <f t="shared" si="251"/>
        <v>86.364946098122076</v>
      </c>
      <c r="V358" s="208">
        <f t="shared" si="256"/>
        <v>115.50643321465328</v>
      </c>
      <c r="W358" s="155">
        <f t="shared" si="246"/>
        <v>130.84112149532709</v>
      </c>
      <c r="X358" s="155">
        <f t="shared" si="237"/>
        <v>10.858175498879284</v>
      </c>
      <c r="Y358" s="208">
        <f t="shared" si="252"/>
        <v>92.096503699283005</v>
      </c>
      <c r="Z358" s="208">
        <f t="shared" si="257"/>
        <v>123.17194804658841</v>
      </c>
    </row>
    <row r="359" spans="1:26" s="210" customFormat="1">
      <c r="A359" s="162">
        <v>3.6</v>
      </c>
      <c r="B359" s="163">
        <f t="shared" si="247"/>
        <v>3.3384410389041097</v>
      </c>
      <c r="C359" s="164">
        <f t="shared" si="238"/>
        <v>6.8428571428571434</v>
      </c>
      <c r="D359" s="164">
        <f t="shared" si="239"/>
        <v>7.1428571428571432</v>
      </c>
      <c r="E359" s="153">
        <f t="shared" si="240"/>
        <v>130.84112149532709</v>
      </c>
      <c r="F359" s="165">
        <f t="shared" si="232"/>
        <v>174.98987661683901</v>
      </c>
      <c r="G359" s="155">
        <f t="shared" si="241"/>
        <v>130.84112149532709</v>
      </c>
      <c r="H359" s="166">
        <f t="shared" si="233"/>
        <v>18.989827292391993</v>
      </c>
      <c r="I359" s="207">
        <f t="shared" si="248"/>
        <v>52.659773288229744</v>
      </c>
      <c r="J359" s="207">
        <f t="shared" ref="J359" si="264">0.5*$A$3*$B359*$B359*I359*0.001</f>
        <v>70.428372403603589</v>
      </c>
      <c r="K359" s="155">
        <f t="shared" si="243"/>
        <v>130.84112149532709</v>
      </c>
      <c r="L359" s="166">
        <f t="shared" si="234"/>
        <v>12.972140719540006</v>
      </c>
      <c r="M359" s="207">
        <f t="shared" si="249"/>
        <v>77.08827876756645</v>
      </c>
      <c r="N359" s="207">
        <f t="shared" si="254"/>
        <v>103.09960841036295</v>
      </c>
      <c r="O359" s="155">
        <f t="shared" si="244"/>
        <v>130.84112149532709</v>
      </c>
      <c r="P359" s="166">
        <f t="shared" si="235"/>
        <v>12.345728596307872</v>
      </c>
      <c r="Q359" s="207">
        <f t="shared" si="250"/>
        <v>80.999674680930639</v>
      </c>
      <c r="R359" s="207">
        <f t="shared" si="255"/>
        <v>108.33079781363975</v>
      </c>
      <c r="S359" s="155">
        <f t="shared" si="245"/>
        <v>130.84112149532709</v>
      </c>
      <c r="T359" s="166">
        <f t="shared" si="236"/>
        <v>11.578771772333035</v>
      </c>
      <c r="U359" s="207">
        <f t="shared" si="251"/>
        <v>86.364946098122076</v>
      </c>
      <c r="V359" s="207">
        <f t="shared" si="256"/>
        <v>115.50643321465328</v>
      </c>
      <c r="W359" s="155">
        <f t="shared" si="246"/>
        <v>130.84112149532709</v>
      </c>
      <c r="X359" s="166">
        <f t="shared" si="237"/>
        <v>10.858175498879284</v>
      </c>
      <c r="Y359" s="207">
        <f t="shared" si="252"/>
        <v>92.096503699283005</v>
      </c>
      <c r="Z359" s="207">
        <f t="shared" si="257"/>
        <v>123.17194804658841</v>
      </c>
    </row>
    <row r="360" spans="1:26">
      <c r="I360" s="168">
        <v>0</v>
      </c>
      <c r="J360" s="171">
        <f>J359</f>
        <v>70.428372403603589</v>
      </c>
    </row>
  </sheetData>
  <mergeCells count="18">
    <mergeCell ref="G60:J60"/>
    <mergeCell ref="K60:N60"/>
    <mergeCell ref="O60:R60"/>
    <mergeCell ref="S60:V60"/>
    <mergeCell ref="W60:Z60"/>
    <mergeCell ref="K212:N212"/>
    <mergeCell ref="G212:J212"/>
    <mergeCell ref="O212:R212"/>
    <mergeCell ref="S212:V212"/>
    <mergeCell ref="W212:Z212"/>
    <mergeCell ref="A212:A213"/>
    <mergeCell ref="B212:B213"/>
    <mergeCell ref="C212:C213"/>
    <mergeCell ref="D212:D213"/>
    <mergeCell ref="C60:C61"/>
    <mergeCell ref="A60:A61"/>
    <mergeCell ref="B60:B61"/>
    <mergeCell ref="D60:D61"/>
  </mergeCells>
  <phoneticPr fontId="1" type="noConversion"/>
  <pageMargins left="0.7" right="0.7" top="0.75" bottom="0.75" header="0.3" footer="0.3"/>
  <pageSetup paperSize="9" orientation="portrait" r:id="rId1"/>
  <ignoredErrors>
    <ignoredError sqref="S62 W62" 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I36"/>
  <sheetViews>
    <sheetView workbookViewId="0">
      <selection activeCell="L22" sqref="L22"/>
    </sheetView>
  </sheetViews>
  <sheetFormatPr defaultRowHeight="15.6"/>
  <cols>
    <col min="2" max="2" width="10.796875" customWidth="1"/>
    <col min="3" max="3" width="44.796875" customWidth="1"/>
    <col min="4" max="4" width="8.8984375" style="8"/>
    <col min="5" max="5" width="6" style="8" customWidth="1"/>
    <col min="7" max="7" width="16.3984375" bestFit="1" customWidth="1"/>
    <col min="8" max="8" width="38.19921875" customWidth="1"/>
    <col min="9" max="9" width="46.8984375" bestFit="1" customWidth="1"/>
  </cols>
  <sheetData>
    <row r="1" spans="2:9" ht="16.2" thickBot="1"/>
    <row r="2" spans="2:9">
      <c r="B2" s="256" t="s">
        <v>59</v>
      </c>
      <c r="C2" s="254" t="s">
        <v>97</v>
      </c>
      <c r="D2" s="54" t="s">
        <v>52</v>
      </c>
      <c r="E2" s="252" t="s">
        <v>53</v>
      </c>
      <c r="G2" s="261" t="s">
        <v>223</v>
      </c>
      <c r="H2" s="262"/>
      <c r="I2" s="263"/>
    </row>
    <row r="3" spans="2:9" ht="16.2" thickBot="1">
      <c r="B3" s="257"/>
      <c r="C3" s="255"/>
      <c r="D3" s="31" t="s">
        <v>35</v>
      </c>
      <c r="E3" s="253"/>
      <c r="G3" s="68" t="s">
        <v>224</v>
      </c>
      <c r="H3" s="69" t="s">
        <v>225</v>
      </c>
      <c r="I3" s="70" t="s">
        <v>226</v>
      </c>
    </row>
    <row r="4" spans="2:9">
      <c r="B4" s="258" t="s">
        <v>60</v>
      </c>
      <c r="C4" s="259"/>
      <c r="D4" s="259"/>
      <c r="E4" s="260"/>
      <c r="G4" s="68" t="s">
        <v>227</v>
      </c>
      <c r="H4" s="69" t="s">
        <v>228</v>
      </c>
      <c r="I4" s="71" t="s">
        <v>229</v>
      </c>
    </row>
    <row r="5" spans="2:9">
      <c r="B5" s="43" t="s">
        <v>120</v>
      </c>
      <c r="C5" s="41" t="s">
        <v>115</v>
      </c>
      <c r="D5" s="42">
        <v>1.07</v>
      </c>
      <c r="E5" s="45" t="s">
        <v>119</v>
      </c>
      <c r="G5" s="68" t="s">
        <v>230</v>
      </c>
      <c r="H5" s="69" t="s">
        <v>231</v>
      </c>
      <c r="I5" s="71" t="s">
        <v>232</v>
      </c>
    </row>
    <row r="6" spans="2:9" ht="18">
      <c r="B6" s="43" t="s">
        <v>121</v>
      </c>
      <c r="C6" s="41" t="s">
        <v>115</v>
      </c>
      <c r="D6" s="42">
        <v>0.75</v>
      </c>
      <c r="E6" s="44"/>
      <c r="G6" s="68" t="s">
        <v>233</v>
      </c>
      <c r="H6" s="69" t="s">
        <v>234</v>
      </c>
      <c r="I6" s="71" t="s">
        <v>235</v>
      </c>
    </row>
    <row r="7" spans="2:9" ht="18">
      <c r="B7" s="17" t="s">
        <v>36</v>
      </c>
      <c r="C7" s="13" t="s">
        <v>98</v>
      </c>
      <c r="D7" s="46">
        <v>1</v>
      </c>
      <c r="E7" s="33" t="s">
        <v>47</v>
      </c>
      <c r="G7" s="68" t="s">
        <v>236</v>
      </c>
      <c r="H7" s="69" t="s">
        <v>237</v>
      </c>
      <c r="I7" s="71" t="s">
        <v>235</v>
      </c>
    </row>
    <row r="8" spans="2:9" ht="18">
      <c r="B8" s="17" t="s">
        <v>37</v>
      </c>
      <c r="C8" s="13" t="s">
        <v>99</v>
      </c>
      <c r="D8" s="46">
        <v>1.6</v>
      </c>
      <c r="E8" s="33" t="s">
        <v>47</v>
      </c>
      <c r="G8" s="68" t="s">
        <v>238</v>
      </c>
      <c r="H8" s="69" t="s">
        <v>239</v>
      </c>
      <c r="I8" s="71" t="s">
        <v>235</v>
      </c>
    </row>
    <row r="9" spans="2:9" ht="18">
      <c r="B9" s="17" t="s">
        <v>38</v>
      </c>
      <c r="C9" s="13" t="s">
        <v>89</v>
      </c>
      <c r="D9" s="14">
        <v>7.1429999999999998</v>
      </c>
      <c r="E9" s="33" t="s">
        <v>48</v>
      </c>
      <c r="G9" s="68" t="s">
        <v>240</v>
      </c>
      <c r="H9" s="69" t="s">
        <v>241</v>
      </c>
      <c r="I9" s="71" t="s">
        <v>242</v>
      </c>
    </row>
    <row r="10" spans="2:9" ht="18">
      <c r="B10" s="17" t="s">
        <v>39</v>
      </c>
      <c r="C10" s="13" t="s">
        <v>100</v>
      </c>
      <c r="D10" s="14">
        <v>0.3</v>
      </c>
      <c r="E10" s="33" t="s">
        <v>48</v>
      </c>
      <c r="G10" s="68" t="s">
        <v>243</v>
      </c>
      <c r="H10" s="69" t="s">
        <v>244</v>
      </c>
      <c r="I10" s="71" t="s">
        <v>229</v>
      </c>
    </row>
    <row r="11" spans="2:9" ht="18">
      <c r="B11" s="17" t="s">
        <v>50</v>
      </c>
      <c r="C11" s="13" t="s">
        <v>51</v>
      </c>
      <c r="D11" s="14">
        <v>8</v>
      </c>
      <c r="E11" s="33"/>
      <c r="G11" s="68" t="s">
        <v>245</v>
      </c>
      <c r="H11" s="69" t="s">
        <v>246</v>
      </c>
      <c r="I11" s="71" t="s">
        <v>247</v>
      </c>
    </row>
    <row r="12" spans="2:9" ht="18">
      <c r="B12" s="17" t="s">
        <v>40</v>
      </c>
      <c r="C12" s="13"/>
      <c r="D12" s="47">
        <v>8</v>
      </c>
      <c r="E12" s="33" t="s">
        <v>48</v>
      </c>
      <c r="G12" s="68" t="s">
        <v>248</v>
      </c>
      <c r="H12" s="69" t="s">
        <v>249</v>
      </c>
      <c r="I12" s="71" t="s">
        <v>247</v>
      </c>
    </row>
    <row r="13" spans="2:9" ht="18">
      <c r="B13" s="17" t="s">
        <v>41</v>
      </c>
      <c r="C13" s="13" t="s">
        <v>81</v>
      </c>
      <c r="D13" s="47">
        <v>0.4</v>
      </c>
      <c r="E13" s="33" t="s">
        <v>48</v>
      </c>
      <c r="G13" s="68" t="s">
        <v>250</v>
      </c>
      <c r="H13" s="69" t="s">
        <v>251</v>
      </c>
      <c r="I13" s="71" t="s">
        <v>235</v>
      </c>
    </row>
    <row r="14" spans="2:9" ht="18">
      <c r="B14" s="17" t="s">
        <v>42</v>
      </c>
      <c r="C14" s="13" t="s">
        <v>80</v>
      </c>
      <c r="D14" s="14">
        <v>22</v>
      </c>
      <c r="E14" s="33" t="s">
        <v>49</v>
      </c>
      <c r="G14" s="68" t="s">
        <v>252</v>
      </c>
      <c r="H14" s="69" t="s">
        <v>253</v>
      </c>
      <c r="I14" s="71" t="s">
        <v>247</v>
      </c>
    </row>
    <row r="15" spans="2:9">
      <c r="B15" s="18" t="s">
        <v>54</v>
      </c>
      <c r="C15" s="13" t="s">
        <v>82</v>
      </c>
      <c r="D15" s="14">
        <v>0.3</v>
      </c>
      <c r="E15" s="33" t="s">
        <v>48</v>
      </c>
      <c r="G15" s="68" t="s">
        <v>254</v>
      </c>
      <c r="H15" s="69" t="s">
        <v>255</v>
      </c>
      <c r="I15" s="71" t="s">
        <v>235</v>
      </c>
    </row>
    <row r="16" spans="2:9" ht="36.6" thickBot="1">
      <c r="B16" s="19" t="s">
        <v>55</v>
      </c>
      <c r="C16" s="20" t="s">
        <v>83</v>
      </c>
      <c r="D16" s="48">
        <v>13.5</v>
      </c>
      <c r="E16" s="37" t="s">
        <v>48</v>
      </c>
      <c r="G16" s="68" t="s">
        <v>256</v>
      </c>
      <c r="H16" s="72" t="s">
        <v>257</v>
      </c>
      <c r="I16" s="71" t="s">
        <v>235</v>
      </c>
    </row>
    <row r="17" spans="2:9" ht="18.600000000000001" thickBot="1">
      <c r="B17" s="267" t="s">
        <v>63</v>
      </c>
      <c r="C17" s="268"/>
      <c r="D17" s="268"/>
      <c r="E17" s="269"/>
      <c r="G17" s="68" t="s">
        <v>258</v>
      </c>
      <c r="H17" s="69" t="s">
        <v>259</v>
      </c>
      <c r="I17" s="71" t="s">
        <v>235</v>
      </c>
    </row>
    <row r="18" spans="2:9" ht="18">
      <c r="B18" s="24" t="s">
        <v>56</v>
      </c>
      <c r="C18" s="15" t="s">
        <v>94</v>
      </c>
      <c r="D18" s="16">
        <v>170</v>
      </c>
      <c r="E18" s="32" t="s">
        <v>58</v>
      </c>
      <c r="G18" s="68" t="s">
        <v>260</v>
      </c>
      <c r="H18" s="69" t="s">
        <v>261</v>
      </c>
      <c r="I18" s="71" t="s">
        <v>262</v>
      </c>
    </row>
    <row r="19" spans="2:9" ht="18">
      <c r="B19" s="18" t="s">
        <v>57</v>
      </c>
      <c r="C19" s="13" t="s">
        <v>95</v>
      </c>
      <c r="D19" s="14">
        <v>159</v>
      </c>
      <c r="E19" s="33" t="s">
        <v>58</v>
      </c>
      <c r="G19" s="68" t="s">
        <v>263</v>
      </c>
      <c r="H19" s="69" t="s">
        <v>264</v>
      </c>
      <c r="I19" s="71" t="s">
        <v>265</v>
      </c>
    </row>
    <row r="20" spans="2:9" ht="18.600000000000001" thickBot="1">
      <c r="B20" s="18" t="s">
        <v>85</v>
      </c>
      <c r="C20" s="13" t="s">
        <v>192</v>
      </c>
      <c r="D20" s="14">
        <v>3.2</v>
      </c>
      <c r="E20" s="33" t="s">
        <v>47</v>
      </c>
      <c r="G20" s="73" t="s">
        <v>266</v>
      </c>
      <c r="H20" s="74" t="s">
        <v>267</v>
      </c>
      <c r="I20" s="75" t="s">
        <v>235</v>
      </c>
    </row>
    <row r="21" spans="2:9" ht="16.2" thickBot="1">
      <c r="B21" s="21" t="s">
        <v>86</v>
      </c>
      <c r="C21" s="13" t="s">
        <v>87</v>
      </c>
      <c r="D21" s="23">
        <v>0.4</v>
      </c>
      <c r="E21" s="34" t="s">
        <v>47</v>
      </c>
      <c r="G21" s="76"/>
      <c r="H21" s="76"/>
      <c r="I21" s="76"/>
    </row>
    <row r="22" spans="2:9" ht="16.2" thickBot="1">
      <c r="B22" s="270" t="s">
        <v>62</v>
      </c>
      <c r="C22" s="271"/>
      <c r="D22" s="271"/>
      <c r="E22" s="272"/>
      <c r="G22" s="261" t="s">
        <v>268</v>
      </c>
      <c r="H22" s="262"/>
      <c r="I22" s="263"/>
    </row>
    <row r="23" spans="2:9">
      <c r="B23" s="29" t="s">
        <v>88</v>
      </c>
      <c r="C23" s="13" t="s">
        <v>101</v>
      </c>
      <c r="D23" s="30" t="s">
        <v>69</v>
      </c>
      <c r="E23" s="35"/>
      <c r="G23" s="68" t="s">
        <v>224</v>
      </c>
      <c r="H23" s="69" t="s">
        <v>225</v>
      </c>
      <c r="I23" s="70" t="s">
        <v>269</v>
      </c>
    </row>
    <row r="24" spans="2:9" ht="36">
      <c r="B24" s="17" t="s">
        <v>43</v>
      </c>
      <c r="C24" s="13" t="s">
        <v>90</v>
      </c>
      <c r="D24" s="14">
        <v>3.2</v>
      </c>
      <c r="E24" s="33" t="s">
        <v>47</v>
      </c>
      <c r="G24" s="68" t="s">
        <v>270</v>
      </c>
      <c r="H24" s="72" t="s">
        <v>271</v>
      </c>
      <c r="I24" s="77" t="s">
        <v>272</v>
      </c>
    </row>
    <row r="25" spans="2:9" ht="36">
      <c r="B25" s="17" t="s">
        <v>45</v>
      </c>
      <c r="C25" s="13"/>
      <c r="D25" s="273" t="s">
        <v>46</v>
      </c>
      <c r="E25" s="274"/>
      <c r="G25" s="68" t="s">
        <v>273</v>
      </c>
      <c r="H25" s="72" t="s">
        <v>274</v>
      </c>
      <c r="I25" s="71" t="s">
        <v>275</v>
      </c>
    </row>
    <row r="26" spans="2:9" ht="36">
      <c r="B26" s="25" t="s">
        <v>91</v>
      </c>
      <c r="C26" s="22" t="s">
        <v>61</v>
      </c>
      <c r="D26" s="23">
        <v>0.6</v>
      </c>
      <c r="E26" s="34" t="s">
        <v>47</v>
      </c>
      <c r="F26" s="26"/>
      <c r="G26" s="68" t="s">
        <v>276</v>
      </c>
      <c r="H26" s="72" t="s">
        <v>277</v>
      </c>
      <c r="I26" s="71" t="s">
        <v>278</v>
      </c>
    </row>
    <row r="27" spans="2:9" ht="16.2" thickBot="1">
      <c r="B27" s="25" t="s">
        <v>92</v>
      </c>
      <c r="C27" s="22" t="s">
        <v>68</v>
      </c>
      <c r="D27" s="23">
        <v>0.8</v>
      </c>
      <c r="E27" s="34" t="s">
        <v>47</v>
      </c>
      <c r="G27" s="264" t="s">
        <v>279</v>
      </c>
      <c r="H27" s="265"/>
      <c r="I27" s="266"/>
    </row>
    <row r="28" spans="2:9" ht="16.2" thickBot="1">
      <c r="B28" s="258" t="s">
        <v>64</v>
      </c>
      <c r="C28" s="259"/>
      <c r="D28" s="259"/>
      <c r="E28" s="260"/>
    </row>
    <row r="29" spans="2:9">
      <c r="B29" s="27" t="s">
        <v>44</v>
      </c>
      <c r="C29" s="28" t="s">
        <v>65</v>
      </c>
      <c r="D29" s="49">
        <v>0.45</v>
      </c>
      <c r="E29" s="36" t="s">
        <v>47</v>
      </c>
    </row>
    <row r="30" spans="2:9">
      <c r="B30" s="18" t="s">
        <v>93</v>
      </c>
      <c r="C30" s="13" t="s">
        <v>102</v>
      </c>
      <c r="D30" s="14">
        <v>5.5</v>
      </c>
      <c r="E30" s="33" t="s">
        <v>67</v>
      </c>
    </row>
    <row r="31" spans="2:9">
      <c r="B31" s="18" t="s">
        <v>66</v>
      </c>
      <c r="C31" s="13" t="s">
        <v>96</v>
      </c>
      <c r="D31" s="14">
        <v>0.3</v>
      </c>
      <c r="E31" s="33" t="s">
        <v>84</v>
      </c>
    </row>
    <row r="32" spans="2:9" ht="16.2" thickBot="1">
      <c r="B32" s="19" t="s">
        <v>109</v>
      </c>
      <c r="C32" s="20" t="s">
        <v>110</v>
      </c>
      <c r="D32" s="39" t="s">
        <v>434</v>
      </c>
      <c r="E32" s="37"/>
    </row>
    <row r="33" spans="2:5" ht="16.2" thickBot="1">
      <c r="B33" s="267" t="s">
        <v>103</v>
      </c>
      <c r="C33" s="268"/>
      <c r="D33" s="268"/>
      <c r="E33" s="269"/>
    </row>
    <row r="34" spans="2:5">
      <c r="B34" s="27" t="s">
        <v>104</v>
      </c>
      <c r="C34" s="28" t="s">
        <v>105</v>
      </c>
      <c r="D34" s="49">
        <v>0.1</v>
      </c>
      <c r="E34" s="36" t="s">
        <v>47</v>
      </c>
    </row>
    <row r="35" spans="2:5">
      <c r="B35" s="21" t="s">
        <v>106</v>
      </c>
      <c r="C35" s="22" t="s">
        <v>107</v>
      </c>
      <c r="D35" s="50">
        <v>0.35</v>
      </c>
      <c r="E35" s="34" t="s">
        <v>84</v>
      </c>
    </row>
    <row r="36" spans="2:5" ht="16.2" thickBot="1">
      <c r="B36" s="19" t="s">
        <v>112</v>
      </c>
      <c r="C36" s="20" t="s">
        <v>113</v>
      </c>
      <c r="D36" s="51">
        <v>1.3</v>
      </c>
      <c r="E36" s="37" t="s">
        <v>114</v>
      </c>
    </row>
  </sheetData>
  <mergeCells count="12">
    <mergeCell ref="G22:I22"/>
    <mergeCell ref="G27:I27"/>
    <mergeCell ref="B33:E33"/>
    <mergeCell ref="B17:E17"/>
    <mergeCell ref="B22:E22"/>
    <mergeCell ref="B28:E28"/>
    <mergeCell ref="D25:E25"/>
    <mergeCell ref="E2:E3"/>
    <mergeCell ref="C2:C3"/>
    <mergeCell ref="B2:B3"/>
    <mergeCell ref="B4:E4"/>
    <mergeCell ref="G2:I2"/>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0"/>
  <sheetViews>
    <sheetView workbookViewId="0">
      <selection activeCell="B1" sqref="B1"/>
    </sheetView>
  </sheetViews>
  <sheetFormatPr defaultRowHeight="15.6"/>
  <cols>
    <col min="1" max="1" width="15.796875" customWidth="1"/>
  </cols>
  <sheetData>
    <row r="1" spans="1:3">
      <c r="A1" t="s">
        <v>173</v>
      </c>
      <c r="B1" s="55">
        <f>Vo_max*'System Designer'!C11</f>
        <v>65</v>
      </c>
      <c r="C1" t="s">
        <v>174</v>
      </c>
    </row>
    <row r="2" spans="1:3">
      <c r="A2" t="s">
        <v>175</v>
      </c>
      <c r="B2" s="56">
        <f>B1/0.91</f>
        <v>71.428571428571431</v>
      </c>
      <c r="C2" t="s">
        <v>174</v>
      </c>
    </row>
    <row r="3" spans="1:3">
      <c r="A3" t="s">
        <v>176</v>
      </c>
      <c r="B3" s="55">
        <f>'System Designer'!C7</f>
        <v>90</v>
      </c>
      <c r="C3" t="s">
        <v>135</v>
      </c>
    </row>
    <row r="4" spans="1:3">
      <c r="A4" t="s">
        <v>177</v>
      </c>
      <c r="B4" s="55">
        <f>'System Designer'!C8</f>
        <v>50</v>
      </c>
      <c r="C4" t="s">
        <v>136</v>
      </c>
    </row>
    <row r="5" spans="1:3">
      <c r="A5" t="s">
        <v>178</v>
      </c>
      <c r="B5" s="55">
        <f>'System Designer'!C12</f>
        <v>65</v>
      </c>
      <c r="C5" t="s">
        <v>130</v>
      </c>
    </row>
    <row r="6" spans="1:3">
      <c r="A6" t="s">
        <v>179</v>
      </c>
      <c r="B6" s="57">
        <f>B3*SQRT(2)-2</f>
        <v>125.27922061357856</v>
      </c>
      <c r="C6" t="s">
        <v>130</v>
      </c>
    </row>
    <row r="7" spans="1:3">
      <c r="A7" t="s">
        <v>180</v>
      </c>
      <c r="B7" s="57">
        <f>B6-B5</f>
        <v>60.279220613578559</v>
      </c>
      <c r="C7" t="s">
        <v>130</v>
      </c>
    </row>
    <row r="8" spans="1:3">
      <c r="A8" t="s">
        <v>181</v>
      </c>
      <c r="B8" s="56">
        <f>((1/(4*B4))+(1/(2*PI()*B4))*ASIN(B5/B6))*1000</f>
        <v>6.7363634566451456</v>
      </c>
      <c r="C8" t="s">
        <v>182</v>
      </c>
    </row>
    <row r="9" spans="1:3">
      <c r="A9" t="s">
        <v>183</v>
      </c>
      <c r="B9" s="56">
        <f>((1/(4*B4))-(1/(2*PI()*B4))*ASIN(B5/B6))*1000</f>
        <v>3.2636365433548544</v>
      </c>
      <c r="C9" t="s">
        <v>182</v>
      </c>
    </row>
    <row r="10" spans="1:3">
      <c r="A10" t="s">
        <v>184</v>
      </c>
      <c r="B10" s="58">
        <f>ROUNDUP(((2*B2*B8*0.001)/(B6^2-B5^2))*1000000,1)</f>
        <v>84</v>
      </c>
      <c r="C10" t="s">
        <v>158</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X50"/>
  <sheetViews>
    <sheetView showGridLines="0" zoomScaleNormal="100" zoomScaleSheetLayoutView="100" workbookViewId="0">
      <selection activeCell="Q14" sqref="Q14"/>
    </sheetView>
  </sheetViews>
  <sheetFormatPr defaultRowHeight="15"/>
  <cols>
    <col min="1" max="1" width="0.8984375" style="185" customWidth="1"/>
    <col min="2" max="2" width="3.59765625" style="185" customWidth="1"/>
    <col min="3" max="13" width="8.796875" style="185"/>
    <col min="14" max="14" width="7.296875" style="185" customWidth="1"/>
    <col min="15" max="15" width="1.59765625" style="185" customWidth="1"/>
    <col min="16" max="16384" width="8.796875" style="185"/>
  </cols>
  <sheetData>
    <row r="1" spans="2:17">
      <c r="B1" s="185" t="s">
        <v>417</v>
      </c>
    </row>
    <row r="2" spans="2:17">
      <c r="C2" s="185" t="s">
        <v>404</v>
      </c>
    </row>
    <row r="3" spans="2:17">
      <c r="C3" s="185" t="s">
        <v>405</v>
      </c>
    </row>
    <row r="6" spans="2:17" ht="15.6">
      <c r="B6" s="186" t="s">
        <v>391</v>
      </c>
    </row>
    <row r="8" spans="2:17" ht="21" customHeight="1">
      <c r="B8" s="187"/>
    </row>
    <row r="9" spans="2:17" ht="18" customHeight="1">
      <c r="B9" s="187"/>
    </row>
    <row r="10" spans="2:17" ht="15.6" customHeight="1">
      <c r="B10" s="187" t="s">
        <v>366</v>
      </c>
    </row>
    <row r="11" spans="2:17" ht="15.6" customHeight="1">
      <c r="B11" s="187" t="s">
        <v>367</v>
      </c>
    </row>
    <row r="12" spans="2:17" ht="15.6" customHeight="1">
      <c r="B12" s="187" t="s">
        <v>368</v>
      </c>
    </row>
    <row r="13" spans="2:17" ht="15.6" customHeight="1">
      <c r="B13" s="187" t="s">
        <v>369</v>
      </c>
    </row>
    <row r="14" spans="2:17" ht="15.6" customHeight="1">
      <c r="B14" s="187" t="s">
        <v>370</v>
      </c>
    </row>
    <row r="15" spans="2:17" ht="27.6" customHeight="1">
      <c r="B15" s="187" t="s">
        <v>371</v>
      </c>
      <c r="Q15" s="201"/>
    </row>
    <row r="16" spans="2:17" ht="15.6" customHeight="1">
      <c r="B16" s="187" t="s">
        <v>372</v>
      </c>
    </row>
    <row r="17" spans="2:14" ht="15.6" customHeight="1">
      <c r="B17" s="187" t="s">
        <v>373</v>
      </c>
    </row>
    <row r="18" spans="2:14" ht="15.6" customHeight="1">
      <c r="B18" s="187"/>
    </row>
    <row r="19" spans="2:14" ht="28.2" customHeight="1">
      <c r="B19" s="190" t="s">
        <v>374</v>
      </c>
    </row>
    <row r="20" spans="2:14" ht="15.6" customHeight="1">
      <c r="B20" s="190" t="s">
        <v>375</v>
      </c>
    </row>
    <row r="21" spans="2:14" ht="24.6" customHeight="1">
      <c r="B21" s="187"/>
    </row>
    <row r="22" spans="2:14" ht="24.6" customHeight="1">
      <c r="B22" s="187"/>
    </row>
    <row r="23" spans="2:14" ht="13.2" customHeight="1">
      <c r="B23" s="187"/>
    </row>
    <row r="24" spans="2:14" ht="78" customHeight="1">
      <c r="B24" s="188" t="s">
        <v>366</v>
      </c>
      <c r="C24" s="275" t="s">
        <v>290</v>
      </c>
      <c r="D24" s="275"/>
      <c r="E24" s="275"/>
      <c r="F24" s="276" t="s">
        <v>382</v>
      </c>
      <c r="G24" s="276"/>
      <c r="H24" s="276"/>
      <c r="I24" s="276"/>
      <c r="J24" s="276"/>
      <c r="K24" s="276"/>
      <c r="L24" s="276"/>
      <c r="M24" s="276"/>
      <c r="N24" s="276"/>
    </row>
    <row r="25" spans="2:14" ht="34.950000000000003" customHeight="1">
      <c r="B25" s="188" t="s">
        <v>367</v>
      </c>
      <c r="C25" s="275" t="s">
        <v>291</v>
      </c>
      <c r="D25" s="275"/>
      <c r="E25" s="275"/>
      <c r="F25" s="276" t="s">
        <v>383</v>
      </c>
      <c r="G25" s="277"/>
      <c r="H25" s="277"/>
      <c r="I25" s="277"/>
      <c r="J25" s="277"/>
      <c r="K25" s="277"/>
      <c r="L25" s="277"/>
      <c r="M25" s="277"/>
      <c r="N25" s="277"/>
    </row>
    <row r="26" spans="2:14" ht="52.5" customHeight="1">
      <c r="B26" s="188" t="s">
        <v>368</v>
      </c>
      <c r="C26" s="275" t="s">
        <v>208</v>
      </c>
      <c r="D26" s="275"/>
      <c r="E26" s="275"/>
      <c r="F26" s="276" t="s">
        <v>384</v>
      </c>
      <c r="G26" s="277"/>
      <c r="H26" s="277"/>
      <c r="I26" s="277"/>
      <c r="J26" s="277"/>
      <c r="K26" s="277"/>
      <c r="L26" s="277"/>
      <c r="M26" s="277"/>
      <c r="N26" s="277"/>
    </row>
    <row r="27" spans="2:14" ht="34.950000000000003" customHeight="1">
      <c r="B27" s="188" t="s">
        <v>369</v>
      </c>
      <c r="C27" s="275" t="s">
        <v>294</v>
      </c>
      <c r="D27" s="275"/>
      <c r="E27" s="275"/>
      <c r="F27" s="276" t="s">
        <v>385</v>
      </c>
      <c r="G27" s="277"/>
      <c r="H27" s="277"/>
      <c r="I27" s="277"/>
      <c r="J27" s="277"/>
      <c r="K27" s="277"/>
      <c r="L27" s="277"/>
      <c r="M27" s="277"/>
      <c r="N27" s="277"/>
    </row>
    <row r="28" spans="2:14" ht="34.950000000000003" customHeight="1">
      <c r="B28" s="188" t="s">
        <v>370</v>
      </c>
      <c r="C28" s="275" t="s">
        <v>380</v>
      </c>
      <c r="D28" s="275"/>
      <c r="E28" s="275"/>
      <c r="F28" s="276" t="s">
        <v>386</v>
      </c>
      <c r="G28" s="277"/>
      <c r="H28" s="277"/>
      <c r="I28" s="277"/>
      <c r="J28" s="277"/>
      <c r="K28" s="277"/>
      <c r="L28" s="277"/>
      <c r="M28" s="277"/>
      <c r="N28" s="277"/>
    </row>
    <row r="29" spans="2:14" ht="52.5" customHeight="1">
      <c r="B29" s="188" t="s">
        <v>371</v>
      </c>
      <c r="C29" s="275" t="s">
        <v>381</v>
      </c>
      <c r="D29" s="275"/>
      <c r="E29" s="275"/>
      <c r="F29" s="276" t="s">
        <v>387</v>
      </c>
      <c r="G29" s="277"/>
      <c r="H29" s="277"/>
      <c r="I29" s="277"/>
      <c r="J29" s="277"/>
      <c r="K29" s="277"/>
      <c r="L29" s="277"/>
      <c r="M29" s="277"/>
      <c r="N29" s="277"/>
    </row>
    <row r="30" spans="2:14" s="161" customFormat="1" ht="111.6" customHeight="1">
      <c r="B30" s="188" t="s">
        <v>372</v>
      </c>
      <c r="C30" s="275" t="s">
        <v>397</v>
      </c>
      <c r="D30" s="275"/>
      <c r="E30" s="275"/>
      <c r="F30" s="276" t="s">
        <v>436</v>
      </c>
      <c r="G30" s="276"/>
      <c r="H30" s="276"/>
      <c r="I30" s="276"/>
      <c r="J30" s="276"/>
      <c r="K30" s="276"/>
      <c r="L30" s="276"/>
      <c r="M30" s="276"/>
      <c r="N30" s="276"/>
    </row>
    <row r="31" spans="2:14" s="161" customFormat="1" ht="34.950000000000003" customHeight="1">
      <c r="B31" s="188" t="s">
        <v>373</v>
      </c>
      <c r="C31" s="275" t="s">
        <v>155</v>
      </c>
      <c r="D31" s="275"/>
      <c r="E31" s="275"/>
      <c r="F31" s="278" t="s">
        <v>398</v>
      </c>
      <c r="G31" s="279"/>
      <c r="H31" s="279"/>
      <c r="I31" s="279"/>
      <c r="J31" s="279"/>
      <c r="K31" s="279"/>
      <c r="L31" s="279"/>
      <c r="M31" s="279"/>
      <c r="N31" s="280"/>
    </row>
    <row r="32" spans="2:14" ht="67.05" customHeight="1">
      <c r="B32" s="188" t="s">
        <v>374</v>
      </c>
      <c r="C32" s="281" t="s">
        <v>437</v>
      </c>
      <c r="D32" s="275"/>
      <c r="E32" s="275"/>
      <c r="F32" s="282" t="s">
        <v>419</v>
      </c>
      <c r="G32" s="282"/>
      <c r="H32" s="282"/>
      <c r="I32" s="282"/>
      <c r="J32" s="282"/>
      <c r="K32" s="282"/>
      <c r="L32" s="282"/>
      <c r="M32" s="282"/>
      <c r="N32" s="282"/>
    </row>
    <row r="33" spans="2:24" ht="150" customHeight="1">
      <c r="B33" s="188" t="s">
        <v>375</v>
      </c>
      <c r="C33" s="275" t="s">
        <v>296</v>
      </c>
      <c r="D33" s="275"/>
      <c r="E33" s="275"/>
      <c r="F33" s="276" t="s">
        <v>395</v>
      </c>
      <c r="G33" s="277"/>
      <c r="H33" s="277"/>
      <c r="I33" s="277"/>
      <c r="J33" s="277"/>
      <c r="K33" s="277"/>
      <c r="L33" s="277"/>
      <c r="M33" s="277"/>
      <c r="N33" s="277"/>
      <c r="P33" s="189"/>
      <c r="Q33" s="189"/>
      <c r="R33" s="189"/>
      <c r="S33" s="189"/>
      <c r="T33" s="189"/>
      <c r="U33" s="189"/>
      <c r="V33" s="189"/>
      <c r="W33" s="189"/>
      <c r="X33" s="189"/>
    </row>
    <row r="34" spans="2:24" s="161" customFormat="1" ht="15.6">
      <c r="B34" s="106"/>
      <c r="C34" s="191"/>
      <c r="D34" s="191"/>
      <c r="E34" s="191"/>
      <c r="F34" s="191"/>
      <c r="G34" s="191"/>
      <c r="H34" s="191"/>
      <c r="I34" s="191"/>
      <c r="J34" s="191"/>
      <c r="K34" s="191"/>
      <c r="L34" s="191"/>
      <c r="M34" s="191"/>
      <c r="N34" s="191"/>
    </row>
    <row r="35" spans="2:24">
      <c r="B35" s="190"/>
    </row>
    <row r="36" spans="2:24" ht="16.2" customHeight="1">
      <c r="B36" s="185" t="s">
        <v>376</v>
      </c>
    </row>
    <row r="37" spans="2:24" ht="15.6" customHeight="1">
      <c r="B37" s="185" t="s">
        <v>377</v>
      </c>
    </row>
    <row r="38" spans="2:24" ht="15.6" customHeight="1">
      <c r="B38" s="190"/>
    </row>
    <row r="39" spans="2:24">
      <c r="B39" s="190" t="s">
        <v>378</v>
      </c>
    </row>
    <row r="40" spans="2:24" ht="15.6" customHeight="1">
      <c r="B40" s="190"/>
    </row>
    <row r="41" spans="2:24" ht="15.6" customHeight="1">
      <c r="B41" s="190" t="s">
        <v>379</v>
      </c>
    </row>
    <row r="42" spans="2:24" ht="7.95" customHeight="1"/>
    <row r="43" spans="2:24" ht="52.5" customHeight="1">
      <c r="B43" s="188" t="s">
        <v>376</v>
      </c>
      <c r="C43" s="275" t="s">
        <v>165</v>
      </c>
      <c r="D43" s="275"/>
      <c r="E43" s="275"/>
      <c r="F43" s="276" t="s">
        <v>403</v>
      </c>
      <c r="G43" s="277"/>
      <c r="H43" s="277"/>
      <c r="I43" s="277"/>
      <c r="J43" s="277"/>
      <c r="K43" s="277"/>
      <c r="L43" s="277"/>
      <c r="M43" s="277"/>
      <c r="N43" s="277"/>
    </row>
    <row r="44" spans="2:24" ht="52.5" customHeight="1">
      <c r="B44" s="188" t="s">
        <v>377</v>
      </c>
      <c r="C44" s="275" t="s">
        <v>311</v>
      </c>
      <c r="D44" s="275"/>
      <c r="E44" s="275"/>
      <c r="F44" s="276" t="s">
        <v>399</v>
      </c>
      <c r="G44" s="277"/>
      <c r="H44" s="277"/>
      <c r="I44" s="277"/>
      <c r="J44" s="277"/>
      <c r="K44" s="277"/>
      <c r="L44" s="277"/>
      <c r="M44" s="277"/>
      <c r="N44" s="277"/>
    </row>
    <row r="45" spans="2:24" ht="34.950000000000003" customHeight="1">
      <c r="B45" s="188" t="s">
        <v>378</v>
      </c>
      <c r="C45" s="275" t="s">
        <v>170</v>
      </c>
      <c r="D45" s="275"/>
      <c r="E45" s="275"/>
      <c r="F45" s="276" t="s">
        <v>400</v>
      </c>
      <c r="G45" s="277"/>
      <c r="H45" s="277"/>
      <c r="I45" s="277"/>
      <c r="J45" s="277"/>
      <c r="K45" s="277"/>
      <c r="L45" s="277"/>
      <c r="M45" s="277"/>
      <c r="N45" s="277"/>
    </row>
    <row r="46" spans="2:24" ht="34.950000000000003" customHeight="1">
      <c r="B46" s="188" t="s">
        <v>379</v>
      </c>
      <c r="C46" s="275" t="s">
        <v>401</v>
      </c>
      <c r="D46" s="275"/>
      <c r="E46" s="275"/>
      <c r="F46" s="276" t="s">
        <v>402</v>
      </c>
      <c r="G46" s="277"/>
      <c r="H46" s="277"/>
      <c r="I46" s="277"/>
      <c r="J46" s="277"/>
      <c r="K46" s="277"/>
      <c r="L46" s="277"/>
      <c r="M46" s="277"/>
      <c r="N46" s="277"/>
    </row>
    <row r="49" spans="2:2">
      <c r="B49" s="190"/>
    </row>
    <row r="50" spans="2:2" ht="15.6">
      <c r="B50" s="186" t="s">
        <v>390</v>
      </c>
    </row>
  </sheetData>
  <sheetProtection password="96F6" sheet="1" objects="1" scenarios="1"/>
  <mergeCells count="28">
    <mergeCell ref="C30:E30"/>
    <mergeCell ref="F30:N30"/>
    <mergeCell ref="C31:E31"/>
    <mergeCell ref="F31:N31"/>
    <mergeCell ref="C44:E44"/>
    <mergeCell ref="F44:N44"/>
    <mergeCell ref="C32:E32"/>
    <mergeCell ref="F32:N32"/>
    <mergeCell ref="C33:E33"/>
    <mergeCell ref="F33:N33"/>
    <mergeCell ref="C45:E45"/>
    <mergeCell ref="F45:N45"/>
    <mergeCell ref="C46:E46"/>
    <mergeCell ref="F46:N46"/>
    <mergeCell ref="C43:E43"/>
    <mergeCell ref="F43:N43"/>
    <mergeCell ref="C27:E27"/>
    <mergeCell ref="F27:N27"/>
    <mergeCell ref="C28:E28"/>
    <mergeCell ref="F28:N28"/>
    <mergeCell ref="C29:E29"/>
    <mergeCell ref="F29:N29"/>
    <mergeCell ref="C24:E24"/>
    <mergeCell ref="F24:N24"/>
    <mergeCell ref="C25:E25"/>
    <mergeCell ref="F25:N25"/>
    <mergeCell ref="C26:E26"/>
    <mergeCell ref="F26:N26"/>
  </mergeCells>
  <pageMargins left="0.23622047244094491" right="0.23622047244094491" top="0.15748031496062992" bottom="0.15748031496062992" header="0.31496062992125984" footer="0.31496062992125984"/>
  <pageSetup paperSize="9" scale="98" orientation="landscape" horizontalDpi="300" verticalDpi="0" r:id="rId1"/>
  <rowBreaks count="3" manualBreakCount="3">
    <brk id="34" max="17" man="1"/>
    <brk id="49" max="17" man="1"/>
    <brk id="84" max="1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X53"/>
  <sheetViews>
    <sheetView showGridLines="0" zoomScaleNormal="100" zoomScaleSheetLayoutView="100" workbookViewId="0">
      <selection activeCell="R19" sqref="R19"/>
    </sheetView>
  </sheetViews>
  <sheetFormatPr defaultRowHeight="15"/>
  <cols>
    <col min="1" max="1" width="0.8984375" style="185" customWidth="1"/>
    <col min="2" max="2" width="3.59765625" style="185" customWidth="1"/>
    <col min="3" max="13" width="8.796875" style="185"/>
    <col min="14" max="14" width="7.296875" style="185" customWidth="1"/>
    <col min="15" max="15" width="1.59765625" style="185" customWidth="1"/>
    <col min="16" max="16384" width="8.796875" style="185"/>
  </cols>
  <sheetData>
    <row r="1" spans="2:17">
      <c r="B1" s="185" t="s">
        <v>388</v>
      </c>
    </row>
    <row r="2" spans="2:17">
      <c r="C2" s="185" t="s">
        <v>404</v>
      </c>
    </row>
    <row r="3" spans="2:17">
      <c r="C3" s="185" t="s">
        <v>389</v>
      </c>
    </row>
    <row r="6" spans="2:17" ht="15.6">
      <c r="B6" s="186" t="s">
        <v>391</v>
      </c>
    </row>
    <row r="8" spans="2:17" ht="21" customHeight="1">
      <c r="B8" s="187"/>
    </row>
    <row r="9" spans="2:17" ht="18" customHeight="1">
      <c r="B9" s="187"/>
    </row>
    <row r="10" spans="2:17" ht="15.6" customHeight="1">
      <c r="B10" s="187" t="s">
        <v>366</v>
      </c>
    </row>
    <row r="11" spans="2:17" ht="15.6" customHeight="1">
      <c r="B11" s="187" t="s">
        <v>367</v>
      </c>
    </row>
    <row r="12" spans="2:17" ht="15" customHeight="1">
      <c r="B12" s="187" t="s">
        <v>368</v>
      </c>
    </row>
    <row r="13" spans="2:17" ht="15.6" customHeight="1">
      <c r="B13" s="187" t="s">
        <v>369</v>
      </c>
    </row>
    <row r="14" spans="2:17" ht="15.6" customHeight="1">
      <c r="B14" s="187" t="s">
        <v>370</v>
      </c>
    </row>
    <row r="15" spans="2:17" ht="27.6" customHeight="1">
      <c r="B15" s="187" t="s">
        <v>371</v>
      </c>
      <c r="Q15" s="201"/>
    </row>
    <row r="16" spans="2:17" ht="15.6" customHeight="1">
      <c r="B16" s="187" t="s">
        <v>372</v>
      </c>
    </row>
    <row r="17" spans="2:14" ht="15.6" customHeight="1">
      <c r="B17" s="187" t="s">
        <v>373</v>
      </c>
    </row>
    <row r="18" spans="2:14" ht="15.6" customHeight="1">
      <c r="B18" s="187"/>
    </row>
    <row r="19" spans="2:14" ht="27.6" customHeight="1">
      <c r="B19" s="190" t="s">
        <v>374</v>
      </c>
    </row>
    <row r="20" spans="2:14" ht="15.6" customHeight="1">
      <c r="B20" s="190" t="s">
        <v>375</v>
      </c>
    </row>
    <row r="21" spans="2:14" ht="15" customHeight="1">
      <c r="B21" s="187"/>
    </row>
    <row r="22" spans="2:14" ht="28.8" customHeight="1">
      <c r="B22" s="187"/>
    </row>
    <row r="23" spans="2:14" ht="7.8" customHeight="1">
      <c r="B23" s="187"/>
    </row>
    <row r="24" spans="2:14" ht="78" customHeight="1">
      <c r="B24" s="188" t="s">
        <v>366</v>
      </c>
      <c r="C24" s="275" t="s">
        <v>290</v>
      </c>
      <c r="D24" s="275"/>
      <c r="E24" s="275"/>
      <c r="F24" s="276" t="s">
        <v>382</v>
      </c>
      <c r="G24" s="276"/>
      <c r="H24" s="276"/>
      <c r="I24" s="276"/>
      <c r="J24" s="276"/>
      <c r="K24" s="276"/>
      <c r="L24" s="276"/>
      <c r="M24" s="276"/>
      <c r="N24" s="276"/>
    </row>
    <row r="25" spans="2:14" ht="34.950000000000003" customHeight="1">
      <c r="B25" s="188" t="s">
        <v>367</v>
      </c>
      <c r="C25" s="275" t="s">
        <v>291</v>
      </c>
      <c r="D25" s="275"/>
      <c r="E25" s="275"/>
      <c r="F25" s="276" t="s">
        <v>383</v>
      </c>
      <c r="G25" s="277"/>
      <c r="H25" s="277"/>
      <c r="I25" s="277"/>
      <c r="J25" s="277"/>
      <c r="K25" s="277"/>
      <c r="L25" s="277"/>
      <c r="M25" s="277"/>
      <c r="N25" s="277"/>
    </row>
    <row r="26" spans="2:14" ht="52.5" customHeight="1">
      <c r="B26" s="188" t="s">
        <v>368</v>
      </c>
      <c r="C26" s="275" t="s">
        <v>208</v>
      </c>
      <c r="D26" s="275"/>
      <c r="E26" s="275"/>
      <c r="F26" s="276" t="s">
        <v>384</v>
      </c>
      <c r="G26" s="277"/>
      <c r="H26" s="277"/>
      <c r="I26" s="277"/>
      <c r="J26" s="277"/>
      <c r="K26" s="277"/>
      <c r="L26" s="277"/>
      <c r="M26" s="277"/>
      <c r="N26" s="277"/>
    </row>
    <row r="27" spans="2:14" ht="34.950000000000003" customHeight="1">
      <c r="B27" s="188" t="s">
        <v>369</v>
      </c>
      <c r="C27" s="275" t="s">
        <v>294</v>
      </c>
      <c r="D27" s="275"/>
      <c r="E27" s="275"/>
      <c r="F27" s="276" t="s">
        <v>385</v>
      </c>
      <c r="G27" s="277"/>
      <c r="H27" s="277"/>
      <c r="I27" s="277"/>
      <c r="J27" s="277"/>
      <c r="K27" s="277"/>
      <c r="L27" s="277"/>
      <c r="M27" s="277"/>
      <c r="N27" s="277"/>
    </row>
    <row r="28" spans="2:14" ht="34.950000000000003" customHeight="1">
      <c r="B28" s="188" t="s">
        <v>370</v>
      </c>
      <c r="C28" s="275" t="s">
        <v>380</v>
      </c>
      <c r="D28" s="275"/>
      <c r="E28" s="275"/>
      <c r="F28" s="276" t="s">
        <v>386</v>
      </c>
      <c r="G28" s="277"/>
      <c r="H28" s="277"/>
      <c r="I28" s="277"/>
      <c r="J28" s="277"/>
      <c r="K28" s="277"/>
      <c r="L28" s="277"/>
      <c r="M28" s="277"/>
      <c r="N28" s="277"/>
    </row>
    <row r="29" spans="2:14" ht="52.5" customHeight="1">
      <c r="B29" s="188" t="s">
        <v>371</v>
      </c>
      <c r="C29" s="275" t="s">
        <v>381</v>
      </c>
      <c r="D29" s="275"/>
      <c r="E29" s="275"/>
      <c r="F29" s="276" t="s">
        <v>387</v>
      </c>
      <c r="G29" s="277"/>
      <c r="H29" s="277"/>
      <c r="I29" s="277"/>
      <c r="J29" s="277"/>
      <c r="K29" s="277"/>
      <c r="L29" s="277"/>
      <c r="M29" s="277"/>
      <c r="N29" s="277"/>
    </row>
    <row r="30" spans="2:14" s="161" customFormat="1" ht="111.6" customHeight="1">
      <c r="B30" s="188" t="s">
        <v>372</v>
      </c>
      <c r="C30" s="275" t="s">
        <v>397</v>
      </c>
      <c r="D30" s="275"/>
      <c r="E30" s="275"/>
      <c r="F30" s="276" t="s">
        <v>436</v>
      </c>
      <c r="G30" s="276"/>
      <c r="H30" s="276"/>
      <c r="I30" s="276"/>
      <c r="J30" s="276"/>
      <c r="K30" s="276"/>
      <c r="L30" s="276"/>
      <c r="M30" s="276"/>
      <c r="N30" s="276"/>
    </row>
    <row r="31" spans="2:14" s="161" customFormat="1" ht="34.950000000000003" customHeight="1">
      <c r="B31" s="188" t="s">
        <v>373</v>
      </c>
      <c r="C31" s="275" t="s">
        <v>155</v>
      </c>
      <c r="D31" s="275"/>
      <c r="E31" s="275"/>
      <c r="F31" s="278" t="s">
        <v>398</v>
      </c>
      <c r="G31" s="279"/>
      <c r="H31" s="279"/>
      <c r="I31" s="279"/>
      <c r="J31" s="279"/>
      <c r="K31" s="279"/>
      <c r="L31" s="279"/>
      <c r="M31" s="279"/>
      <c r="N31" s="280"/>
    </row>
    <row r="32" spans="2:14" ht="67.05" customHeight="1">
      <c r="B32" s="188" t="s">
        <v>374</v>
      </c>
      <c r="C32" s="281" t="s">
        <v>437</v>
      </c>
      <c r="D32" s="275"/>
      <c r="E32" s="275"/>
      <c r="F32" s="282" t="s">
        <v>419</v>
      </c>
      <c r="G32" s="282"/>
      <c r="H32" s="282"/>
      <c r="I32" s="282"/>
      <c r="J32" s="282"/>
      <c r="K32" s="282"/>
      <c r="L32" s="282"/>
      <c r="M32" s="282"/>
      <c r="N32" s="282"/>
    </row>
    <row r="33" spans="2:24" ht="150" customHeight="1">
      <c r="B33" s="188" t="s">
        <v>375</v>
      </c>
      <c r="C33" s="275" t="s">
        <v>296</v>
      </c>
      <c r="D33" s="275"/>
      <c r="E33" s="275"/>
      <c r="F33" s="276" t="s">
        <v>395</v>
      </c>
      <c r="G33" s="277"/>
      <c r="H33" s="277"/>
      <c r="I33" s="277"/>
      <c r="J33" s="277"/>
      <c r="K33" s="277"/>
      <c r="L33" s="277"/>
      <c r="M33" s="277"/>
      <c r="N33" s="277"/>
      <c r="P33" s="189"/>
      <c r="Q33" s="189"/>
      <c r="R33" s="189"/>
      <c r="S33" s="189"/>
      <c r="T33" s="189"/>
      <c r="U33" s="189"/>
      <c r="V33" s="189"/>
      <c r="W33" s="189"/>
      <c r="X33" s="189"/>
    </row>
    <row r="34" spans="2:24">
      <c r="B34" s="190"/>
    </row>
    <row r="35" spans="2:24">
      <c r="B35" s="190"/>
    </row>
    <row r="36" spans="2:24" ht="16.2" customHeight="1">
      <c r="B36" s="185" t="s">
        <v>376</v>
      </c>
    </row>
    <row r="37" spans="2:24" ht="15.6" customHeight="1">
      <c r="B37" s="185" t="s">
        <v>377</v>
      </c>
    </row>
    <row r="38" spans="2:24" ht="15.6" customHeight="1">
      <c r="B38" s="190"/>
    </row>
    <row r="39" spans="2:24">
      <c r="B39" s="190" t="s">
        <v>378</v>
      </c>
    </row>
    <row r="40" spans="2:24" ht="15.6" customHeight="1">
      <c r="B40" s="190"/>
    </row>
    <row r="41" spans="2:24" ht="15.6" customHeight="1">
      <c r="B41" s="190" t="s">
        <v>379</v>
      </c>
    </row>
    <row r="42" spans="2:24" ht="7.95" customHeight="1"/>
    <row r="43" spans="2:24" ht="52.5" customHeight="1">
      <c r="B43" s="188" t="s">
        <v>376</v>
      </c>
      <c r="C43" s="275" t="s">
        <v>165</v>
      </c>
      <c r="D43" s="275"/>
      <c r="E43" s="275"/>
      <c r="F43" s="276" t="s">
        <v>438</v>
      </c>
      <c r="G43" s="277"/>
      <c r="H43" s="277"/>
      <c r="I43" s="277"/>
      <c r="J43" s="277"/>
      <c r="K43" s="277"/>
      <c r="L43" s="277"/>
      <c r="M43" s="277"/>
      <c r="N43" s="277"/>
    </row>
    <row r="44" spans="2:24" ht="52.5" customHeight="1">
      <c r="B44" s="188" t="s">
        <v>377</v>
      </c>
      <c r="C44" s="275" t="s">
        <v>311</v>
      </c>
      <c r="D44" s="275"/>
      <c r="E44" s="275"/>
      <c r="F44" s="276" t="s">
        <v>399</v>
      </c>
      <c r="G44" s="277"/>
      <c r="H44" s="277"/>
      <c r="I44" s="277"/>
      <c r="J44" s="277"/>
      <c r="K44" s="277"/>
      <c r="L44" s="277"/>
      <c r="M44" s="277"/>
      <c r="N44" s="277"/>
    </row>
    <row r="45" spans="2:24" ht="34.950000000000003" customHeight="1">
      <c r="B45" s="188" t="s">
        <v>378</v>
      </c>
      <c r="C45" s="275" t="s">
        <v>170</v>
      </c>
      <c r="D45" s="275"/>
      <c r="E45" s="275"/>
      <c r="F45" s="276" t="s">
        <v>400</v>
      </c>
      <c r="G45" s="277"/>
      <c r="H45" s="277"/>
      <c r="I45" s="277"/>
      <c r="J45" s="277"/>
      <c r="K45" s="277"/>
      <c r="L45" s="277"/>
      <c r="M45" s="277"/>
      <c r="N45" s="277"/>
    </row>
    <row r="46" spans="2:24" ht="34.950000000000003" customHeight="1">
      <c r="B46" s="188" t="s">
        <v>379</v>
      </c>
      <c r="C46" s="275" t="s">
        <v>401</v>
      </c>
      <c r="D46" s="275"/>
      <c r="E46" s="275"/>
      <c r="F46" s="276" t="s">
        <v>402</v>
      </c>
      <c r="G46" s="277"/>
      <c r="H46" s="277"/>
      <c r="I46" s="277"/>
      <c r="J46" s="277"/>
      <c r="K46" s="277"/>
      <c r="L46" s="277"/>
      <c r="M46" s="277"/>
      <c r="N46" s="277"/>
    </row>
    <row r="53" spans="2:2" ht="15.6">
      <c r="B53" s="186" t="s">
        <v>390</v>
      </c>
    </row>
  </sheetData>
  <sheetProtection password="96F6" sheet="1" objects="1" scenarios="1"/>
  <mergeCells count="28">
    <mergeCell ref="C24:E24"/>
    <mergeCell ref="F24:N24"/>
    <mergeCell ref="C25:E25"/>
    <mergeCell ref="F25:N25"/>
    <mergeCell ref="C26:E26"/>
    <mergeCell ref="F26:N26"/>
    <mergeCell ref="C46:E46"/>
    <mergeCell ref="F46:N46"/>
    <mergeCell ref="C27:E27"/>
    <mergeCell ref="F27:N27"/>
    <mergeCell ref="C28:E28"/>
    <mergeCell ref="F28:N28"/>
    <mergeCell ref="C29:E29"/>
    <mergeCell ref="F29:N29"/>
    <mergeCell ref="C33:E33"/>
    <mergeCell ref="F33:N33"/>
    <mergeCell ref="F30:N30"/>
    <mergeCell ref="C31:E31"/>
    <mergeCell ref="F31:N31"/>
    <mergeCell ref="C32:E32"/>
    <mergeCell ref="F32:N32"/>
    <mergeCell ref="C30:E30"/>
    <mergeCell ref="C43:E43"/>
    <mergeCell ref="F43:N43"/>
    <mergeCell ref="C44:E44"/>
    <mergeCell ref="F44:N44"/>
    <mergeCell ref="C45:E45"/>
    <mergeCell ref="F45:N45"/>
  </mergeCells>
  <pageMargins left="0.23622047244094491" right="0.23622047244094491" top="0.15748031496062992" bottom="0.15748031496062992" header="0.31496062992125984" footer="0.31496062992125984"/>
  <pageSetup paperSize="9" scale="98" orientation="landscape" horizontalDpi="300" verticalDpi="0" r:id="rId1"/>
  <rowBreaks count="3" manualBreakCount="3">
    <brk id="34" max="17" man="1"/>
    <brk id="52" max="17" man="1"/>
    <brk id="87" max="1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D82B7C-F14F-49A6-A93D-049C4A25AF67}"/>
</file>

<file path=customXml/itemProps2.xml><?xml version="1.0" encoding="utf-8"?>
<ds:datastoreItem xmlns:ds="http://schemas.openxmlformats.org/officeDocument/2006/customXml" ds:itemID="{94E4830A-A616-4682-9BBC-6500C5F9A049}"/>
</file>

<file path=customXml/itemProps3.xml><?xml version="1.0" encoding="utf-8"?>
<ds:datastoreItem xmlns:ds="http://schemas.openxmlformats.org/officeDocument/2006/customXml" ds:itemID="{6E275FA8-8DFF-4903-8076-D95219E6C2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System Designer</vt:lpstr>
      <vt:lpstr>System Parameter Summary</vt:lpstr>
      <vt:lpstr>Ver130kHz</vt:lpstr>
      <vt:lpstr>Internal Parameter</vt:lpstr>
      <vt:lpstr>Bulk Cap Calculator</vt:lpstr>
      <vt:lpstr>65W Example</vt:lpstr>
      <vt:lpstr>45W Example</vt:lpstr>
      <vt:lpstr>Lm</vt:lpstr>
      <vt:lpstr>Naux</vt:lpstr>
      <vt:lpstr>NP</vt:lpstr>
      <vt:lpstr>NS</vt:lpstr>
      <vt:lpstr>'45W Example'!Print_Area</vt:lpstr>
      <vt:lpstr>'65W Example'!Print_Area</vt:lpstr>
      <vt:lpstr>'System Parameter Summary'!Print_Area</vt:lpstr>
      <vt:lpstr>Rcs</vt:lpstr>
      <vt:lpstr>Tdead</vt:lpstr>
      <vt:lpstr>TR</vt:lpstr>
      <vt:lpstr>Vo_max</vt:lpstr>
      <vt:lpstr>Vo_min</vt:lpstr>
      <vt:lpstr>VOR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2021-02-01T07:45:49Z</dcterms:modified>
</cp:coreProperties>
</file>