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'Worksheet'!$A$1:$Y$2140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<sst xmlns="http://schemas.openxmlformats.org/spreadsheetml/2006/main" uniqueCount="3388">
  <si>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</si>
  <si>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</si>
  <si>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</si>
  <si>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</si>
  <si>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</si>
  <si>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Automotive(Q)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</si>
  <si>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Polarity</t>
    </r>
  </si>
  <si>
    <r>
      <rPr>
        <rFont val="Arial"/>
        <b val="true"/>
        <i val="false"/>
        <strike val="false"/>
        <color rgb="FF000000"/>
        <sz val="8"/>
        <u val="none"/>
      </rPr>
      <t xml:space="preserve">ESD Diodes (Y|N)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</si>
  <si>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</si>
  <si>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(±V)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</si>
  <si>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</si>
  <si>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</t>
    </r>
    <r>
      <rPr>
        <rFont val="Arial"/>
        <b val="true"/>
        <i val="false"/>
        <strike val="false"/>
        <color rgb="FF000000"/>
        <sz val="8"/>
        <u val="none"/>
      </rPr>
      <t xml:space="preserve"> = +25°C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</si>
  <si>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(W)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</si>
  <si>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</t>
    </r>
    <r>
      <rPr>
        <rFont val="Arial"/>
        <b val="true"/>
        <i val="false"/>
        <strike val="false"/>
        <color rgb="FF000000"/>
        <sz val="8"/>
        <u val="none"/>
      </rPr>
      <t xml:space="preserve"> = +25°C (W)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</si>
  <si>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(10V)(mΩ)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</si>
  <si>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(4.5V)(mΩ)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</si>
  <si>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(2.5V)(mΩ)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</si>
  <si>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(1.8V)(mΩ)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</si>
  <si>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GS(TH)</t>
    </r>
    <r>
      <rPr>
        <rFont val="Arial"/>
        <b val="true"/>
        <i val="false"/>
        <strike val="false"/>
        <color rgb="FF000000"/>
        <sz val="8"/>
        <u val="none"/>
      </rPr>
      <t xml:space="preserve">| Min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</si>
  <si>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GS(TH)</t>
    </r>
    <r>
      <rPr>
        <rFont val="Arial"/>
        <b val="true"/>
        <i val="false"/>
        <strike val="false"/>
        <color rgb="FF000000"/>
        <sz val="8"/>
        <u val="none"/>
      </rPr>
      <t xml:space="preserve">| Max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</si>
  <si>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4.5V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</si>
  <si>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10V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</si>
  <si>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ISS</t>
    </r>
    <r>
      <rPr>
        <rFont val="Arial"/>
        <b val="true"/>
        <i val="false"/>
        <strike val="false"/>
        <color rgb="FF000000"/>
        <sz val="8"/>
        <u val="none"/>
      </rPr>
      <t xml:space="preserve"> Typ (pF)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</si>
  <si>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ISS</t>
    </r>
    <r>
      <rPr>
        <rFont val="Arial"/>
        <b val="true"/>
        <i val="false"/>
        <strike val="false"/>
        <color rgb="FF000000"/>
        <sz val="8"/>
        <u val="none"/>
      </rPr>
      <t xml:space="preserve"> Condition @|V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</si>
  <si>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t>Packages</t>
  </si>
  <si>
    <t>2N7002</t>
  </si>
  <si>
    <t>N-CHANNEL ENHANCEMENT MODE MOSFET</t>
  </si>
  <si>
    <t>Yes</t>
  </si>
  <si>
    <t>Standard</t>
  </si>
  <si>
    <t>N</t>
  </si>
  <si>
    <t>No</t>
  </si>
  <si>
    <t>22 @ 25V</t>
  </si>
  <si>
    <t>SOT23 (Standard)</t>
  </si>
  <si>
    <t>2N7002A</t>
  </si>
  <si>
    <t>23 @ 25V</t>
  </si>
  <si>
    <t>SOT23</t>
  </si>
  <si>
    <t>2N7002AQ</t>
  </si>
  <si>
    <t>Automotive</t>
  </si>
  <si>
    <t>2N7002DW</t>
  </si>
  <si>
    <t>DUAL N-CHANNEL ENHANCEMENT MODE MOSFET</t>
  </si>
  <si>
    <t>N+N</t>
  </si>
  <si>
    <t>7500 @5V</t>
  </si>
  <si>
    <t>SOT363</t>
  </si>
  <si>
    <t>2N7002DWK</t>
  </si>
  <si>
    <t>2N7002DWQ</t>
  </si>
  <si>
    <t>2N7002DWS</t>
  </si>
  <si>
    <t>60V DUAL N-CHANNEL ENHANCEMENT MODE MOSFET</t>
  </si>
  <si>
    <t>2N7002E</t>
  </si>
  <si>
    <t>2N7002EQ</t>
  </si>
  <si>
    <t>2N7002H</t>
  </si>
  <si>
    <t>2N7002K</t>
  </si>
  <si>
    <t>30 @ 25V</t>
  </si>
  <si>
    <t>2N7002KQ</t>
  </si>
  <si>
    <t>2N7002Q</t>
  </si>
  <si>
    <t>N-CHANNEL ENHANCEMENT MODE FIELD EFFECT TRANSISTOR</t>
  </si>
  <si>
    <t>2N7002T</t>
  </si>
  <si>
    <t>SOT523</t>
  </si>
  <si>
    <t>2N7002TQ</t>
  </si>
  <si>
    <t>2N7002VAC</t>
  </si>
  <si>
    <t>50 max @ 25V</t>
  </si>
  <si>
    <t>SOT563</t>
  </si>
  <si>
    <t>2N7002VC</t>
  </si>
  <si>
    <t>2N7002W</t>
  </si>
  <si>
    <t>SOT323 (Standard)</t>
  </si>
  <si>
    <t>BS107P</t>
  </si>
  <si>
    <t>200V N-CHANNEL ENHANCEMENT MODE VERTICAL DMOSFET</t>
  </si>
  <si>
    <t>85 max @ 25V</t>
  </si>
  <si>
    <t>E-Line</t>
  </si>
  <si>
    <t>BS170F</t>
  </si>
  <si>
    <t>60 @ 10V</t>
  </si>
  <si>
    <t>BS170P</t>
  </si>
  <si>
    <t>60V N-CHANNEL ENHANCEMENT MODE VERTICAL DMOSFET</t>
  </si>
  <si>
    <t>TO92</t>
  </si>
  <si>
    <t>BS250F</t>
  </si>
  <si>
    <t>P-CHANNEL ENHANCEMENT MODE MOSFET</t>
  </si>
  <si>
    <t>P</t>
  </si>
  <si>
    <t>25 @ -10V</t>
  </si>
  <si>
    <t>BS250P</t>
  </si>
  <si>
    <t>P-CHANNEL ENHANCEMENT MODE VERTICAL DMOS FET</t>
  </si>
  <si>
    <t>60 @ -10V</t>
  </si>
  <si>
    <t>BS870</t>
  </si>
  <si>
    <t>22 @ 10V</t>
  </si>
  <si>
    <t>BS870Q</t>
  </si>
  <si>
    <t>BSN20</t>
  </si>
  <si>
    <t>21.8 @ 10V</t>
  </si>
  <si>
    <t>BSS123</t>
  </si>
  <si>
    <t>BSS123(Z)</t>
  </si>
  <si>
    <t>20 max @ 25V</t>
  </si>
  <si>
    <t>BSS123K</t>
  </si>
  <si>
    <t>BSS123Q</t>
  </si>
  <si>
    <t>BSS123W</t>
  </si>
  <si>
    <t>29 @ 25V</t>
  </si>
  <si>
    <t>SOT323</t>
  </si>
  <si>
    <t>BSS123WQ</t>
  </si>
  <si>
    <t>BSS127S</t>
  </si>
  <si>
    <t>21.8 @ 25V</t>
  </si>
  <si>
    <t>BSS127SSN</t>
  </si>
  <si>
    <t>N-CHANNEL ENHANCEMENT MODE FIELD MOSFET</t>
  </si>
  <si>
    <t>SC59</t>
  </si>
  <si>
    <t>BSS138</t>
  </si>
  <si>
    <t>50 @ 10V</t>
  </si>
  <si>
    <t>BSS138DW</t>
  </si>
  <si>
    <t>50 @ 10V (max)</t>
  </si>
  <si>
    <t>SOT363 (Standard)</t>
  </si>
  <si>
    <t>BSS138DWK</t>
  </si>
  <si>
    <t>50V N-CHANNEL ENHANCEMENT MODE MOSFET</t>
  </si>
  <si>
    <t>BSS138DWQ</t>
  </si>
  <si>
    <t>BSS138K</t>
  </si>
  <si>
    <t>BSS138Q</t>
  </si>
  <si>
    <t>BSS138W</t>
  </si>
  <si>
    <t>BSS138WQ</t>
  </si>
  <si>
    <t>BSS84</t>
  </si>
  <si>
    <t>BSS8402DW</t>
  </si>
  <si>
    <t>COMPLEMENTARY PAIR ENHANCEMENT MODE MOSFET</t>
  </si>
  <si>
    <t>N+P</t>
  </si>
  <si>
    <t>60, 50</t>
  </si>
  <si>
    <t>20, 20</t>
  </si>
  <si>
    <t>0.115, 0.13</t>
  </si>
  <si>
    <t>7500, 10000</t>
  </si>
  <si>
    <t>2.5, 2</t>
  </si>
  <si>
    <t>50, 45</t>
  </si>
  <si>
    <t>25, 20</t>
  </si>
  <si>
    <t>BSS84DW</t>
  </si>
  <si>
    <t>Dual P-CHANNEL ENHANCEMENT MODE MOSFET</t>
  </si>
  <si>
    <t>P+P</t>
  </si>
  <si>
    <t>45 max</t>
  </si>
  <si>
    <t>BSS84DWQ</t>
  </si>
  <si>
    <t>DUAL P-CHANNEL ENHANCEMENT MODE MOSFET</t>
  </si>
  <si>
    <t>10000 (@5V)</t>
  </si>
  <si>
    <t>BSS84Q</t>
  </si>
  <si>
    <t>BSS84W</t>
  </si>
  <si>
    <t>BSS84WQ</t>
  </si>
  <si>
    <t>50V P-CHANNEL ENHANCEMENT MODE FIELD EFFECT TRANSISTOR</t>
  </si>
  <si>
    <t>DMC1015UPD</t>
  </si>
  <si>
    <t>12, 20</t>
  </si>
  <si>
    <t>8, 8</t>
  </si>
  <si>
    <t>9.5, 6.8</t>
  </si>
  <si>
    <t>17, 35</t>
  </si>
  <si>
    <t>25, 55</t>
  </si>
  <si>
    <t>0.6, 0.6</t>
  </si>
  <si>
    <t>1.5, 1.5</t>
  </si>
  <si>
    <t>15.6, 15.4</t>
  </si>
  <si>
    <t>1495, 1745</t>
  </si>
  <si>
    <t>6, 10</t>
  </si>
  <si>
    <t>PowerDI5060-8 (Type C)</t>
  </si>
  <si>
    <t>DMC1016UPD</t>
  </si>
  <si>
    <t>9.5, 8.7</t>
  </si>
  <si>
    <t>17, 20</t>
  </si>
  <si>
    <t>25, 25</t>
  </si>
  <si>
    <t>, 40</t>
  </si>
  <si>
    <t>0.6, 0.35</t>
  </si>
  <si>
    <t>1.5, 1</t>
  </si>
  <si>
    <t>18, 32</t>
  </si>
  <si>
    <t>1454, 3103</t>
  </si>
  <si>
    <t>6, 15</t>
  </si>
  <si>
    <t>DMC1018UPD</t>
  </si>
  <si>
    <t>8, 12</t>
  </si>
  <si>
    <t>9.5, 6.9</t>
  </si>
  <si>
    <t>17, 32</t>
  </si>
  <si>
    <t>25, 53</t>
  </si>
  <si>
    <t>17.1, 8.6</t>
  </si>
  <si>
    <t>30.4, 19 (@8V)</t>
  </si>
  <si>
    <t>1525, 866</t>
  </si>
  <si>
    <t>6, 6</t>
  </si>
  <si>
    <t>DMC1018UPDWQ</t>
  </si>
  <si>
    <t>10, 6.7</t>
  </si>
  <si>
    <t>31.3, 20.9</t>
  </si>
  <si>
    <t>17, 38</t>
  </si>
  <si>
    <t>PowerDI5060-8/SWP (Type UXD)</t>
  </si>
  <si>
    <t>DMC1028UFDB</t>
  </si>
  <si>
    <t>6, 3.4</t>
  </si>
  <si>
    <t>25, 80</t>
  </si>
  <si>
    <t>32, 100</t>
  </si>
  <si>
    <t>40, 140</t>
  </si>
  <si>
    <t>0.4, 0.4</t>
  </si>
  <si>
    <t>1, 1</t>
  </si>
  <si>
    <t>10.5, 6.7</t>
  </si>
  <si>
    <t>18.5, 11.5 (@8V)</t>
  </si>
  <si>
    <t>787, 576</t>
  </si>
  <si>
    <t>U-DFN2020-6 (Type B)</t>
  </si>
  <si>
    <t>DMC1028UVT</t>
  </si>
  <si>
    <t>6.1, 3.5</t>
  </si>
  <si>
    <t>0.4, 0.45</t>
  </si>
  <si>
    <t>TSOT26</t>
  </si>
  <si>
    <t>DMC1029UFDB</t>
  </si>
  <si>
    <t>12, 12</t>
  </si>
  <si>
    <t>5.6, 3.8</t>
  </si>
  <si>
    <t>29, 61</t>
  </si>
  <si>
    <t>34, 81</t>
  </si>
  <si>
    <t>44, 115</t>
  </si>
  <si>
    <t>10.5, 10.7</t>
  </si>
  <si>
    <t>19.6, 17.9 (@8V)</t>
  </si>
  <si>
    <t>914, 915</t>
  </si>
  <si>
    <t>DMC1030UFDB</t>
  </si>
  <si>
    <t>5.1, 3.9</t>
  </si>
  <si>
    <t>34, 59</t>
  </si>
  <si>
    <t>40, 81</t>
  </si>
  <si>
    <t>50, 115</t>
  </si>
  <si>
    <t>12.2, 13</t>
  </si>
  <si>
    <t>23.1, 20.8 (@8V)</t>
  </si>
  <si>
    <t>1003, 1028</t>
  </si>
  <si>
    <t>DMC10H172SSD</t>
  </si>
  <si>
    <t>100,100</t>
  </si>
  <si>
    <t>20,20</t>
  </si>
  <si>
    <t>2,1.7</t>
  </si>
  <si>
    <t>160,250</t>
  </si>
  <si>
    <t>200,300</t>
  </si>
  <si>
    <t>1,1</t>
  </si>
  <si>
    <t>3,3</t>
  </si>
  <si>
    <t>19.6,18</t>
  </si>
  <si>
    <t>9.6,9</t>
  </si>
  <si>
    <t>1145,1030</t>
  </si>
  <si>
    <t>50,50</t>
  </si>
  <si>
    <t>SO-8</t>
  </si>
  <si>
    <t>DMC10H220LSD</t>
  </si>
  <si>
    <t>100, 100</t>
  </si>
  <si>
    <t>1.7, 1.7</t>
  </si>
  <si>
    <t>220, 250</t>
  </si>
  <si>
    <t>260, 300</t>
  </si>
  <si>
    <t>3, 3</t>
  </si>
  <si>
    <t>4.1, 8.4</t>
  </si>
  <si>
    <t>8.3, 17.5</t>
  </si>
  <si>
    <t>340, 1030</t>
  </si>
  <si>
    <t>50, 50</t>
  </si>
  <si>
    <t>DMC1229UFDB</t>
  </si>
  <si>
    <t>6,6</t>
  </si>
  <si>
    <t>DMC2004DWK</t>
  </si>
  <si>
    <t>0.54, 0.43</t>
  </si>
  <si>
    <t>550, 900</t>
  </si>
  <si>
    <t>700, 1400</t>
  </si>
  <si>
    <t>900, 2000</t>
  </si>
  <si>
    <t>0.5, 0.5</t>
  </si>
  <si>
    <t>95, 85</t>
  </si>
  <si>
    <t>16, 16</t>
  </si>
  <si>
    <t>DMC2004LPK</t>
  </si>
  <si>
    <t>0.75, 0.6</t>
  </si>
  <si>
    <t>X1-DFN1612-6</t>
  </si>
  <si>
    <t>DMC2020USD</t>
  </si>
  <si>
    <t>10, 10</t>
  </si>
  <si>
    <t>8.5, 6.8</t>
  </si>
  <si>
    <t>20, 33</t>
  </si>
  <si>
    <t>28, 45</t>
  </si>
  <si>
    <t>0.5, 0.4</t>
  </si>
  <si>
    <t>11.6, 15.4</t>
  </si>
  <si>
    <t>1149, 1610</t>
  </si>
  <si>
    <t>DMC2025UFDB</t>
  </si>
  <si>
    <t>10, 8</t>
  </si>
  <si>
    <t>6, 3.5</t>
  </si>
  <si>
    <t>25, 75</t>
  </si>
  <si>
    <t>35, 140</t>
  </si>
  <si>
    <t>1, 1.4</t>
  </si>
  <si>
    <t>5.9, 8.8</t>
  </si>
  <si>
    <t>12.3, 15 (@8V )</t>
  </si>
  <si>
    <t>486, 642</t>
  </si>
  <si>
    <t>DMC2025UFDBQ</t>
  </si>
  <si>
    <t>0.5, 0.35</t>
  </si>
  <si>
    <t>12.3, 15 (@8V)</t>
  </si>
  <si>
    <t>DMC2041UFDB</t>
  </si>
  <si>
    <t>4.7, 3.2</t>
  </si>
  <si>
    <t>40, 90</t>
  </si>
  <si>
    <t>65, 137</t>
  </si>
  <si>
    <t>0.35, 0.35</t>
  </si>
  <si>
    <t>1.4, 1.4</t>
  </si>
  <si>
    <t>8, 11</t>
  </si>
  <si>
    <t>15, 18 (@8V)</t>
  </si>
  <si>
    <t>713, 881</t>
  </si>
  <si>
    <t>DMC2053UFDB</t>
  </si>
  <si>
    <t>4.6, 3.1</t>
  </si>
  <si>
    <t>35, 75</t>
  </si>
  <si>
    <t>43, 110</t>
  </si>
  <si>
    <t>56, 168</t>
  </si>
  <si>
    <t>0.4, 0.5</t>
  </si>
  <si>
    <t>3.6,5.9</t>
  </si>
  <si>
    <t>369, 440</t>
  </si>
  <si>
    <t>DMC2053UFDBQ</t>
  </si>
  <si>
    <t>3.6, 5.9</t>
  </si>
  <si>
    <t>DMC2053UVT</t>
  </si>
  <si>
    <t>4.6, 3.2</t>
  </si>
  <si>
    <t>35,74</t>
  </si>
  <si>
    <t>DMC2053UVTQ</t>
  </si>
  <si>
    <t>35, 74</t>
  </si>
  <si>
    <t>DMC2057UVT</t>
  </si>
  <si>
    <t>12, 8</t>
  </si>
  <si>
    <t>4, 3.3</t>
  </si>
  <si>
    <t>42,70</t>
  </si>
  <si>
    <t>60, 100</t>
  </si>
  <si>
    <t>91, 160</t>
  </si>
  <si>
    <t>1.2, 1</t>
  </si>
  <si>
    <t>4.7, 6.5</t>
  </si>
  <si>
    <t>10.5,</t>
  </si>
  <si>
    <t>416, 536</t>
  </si>
  <si>
    <t>DMC21D1UDA</t>
  </si>
  <si>
    <t>0.455, 0.328</t>
  </si>
  <si>
    <t>990, 1900</t>
  </si>
  <si>
    <t>1200, 2400</t>
  </si>
  <si>
    <t>1800, 3400</t>
  </si>
  <si>
    <t>0.41, 0.4</t>
  </si>
  <si>
    <t>31, 28.5</t>
  </si>
  <si>
    <t>X2-DFN0806-6</t>
  </si>
  <si>
    <t>DMC2400UV</t>
  </si>
  <si>
    <t>1.03, 0.7</t>
  </si>
  <si>
    <t>500, 1000</t>
  </si>
  <si>
    <t>700, 1500</t>
  </si>
  <si>
    <t>0.9, 1</t>
  </si>
  <si>
    <t>37, 46</t>
  </si>
  <si>
    <t>DMC2400UVQ</t>
  </si>
  <si>
    <t>Complementary Pair Enhancement Mode MOSFET</t>
  </si>
  <si>
    <t>1, 0.7</t>
  </si>
  <si>
    <t>800, 2000</t>
  </si>
  <si>
    <t>0.9, 1.0</t>
  </si>
  <si>
    <t>37.1, 46.1</t>
  </si>
  <si>
    <t>DMC2450UV</t>
  </si>
  <si>
    <t>DMC25D0UVT</t>
  </si>
  <si>
    <t>25, 30</t>
  </si>
  <si>
    <t>0.4, 2.6</t>
  </si>
  <si>
    <t>4000, 125</t>
  </si>
  <si>
    <t>0.65, 0.5</t>
  </si>
  <si>
    <t>0.4, 10</t>
  </si>
  <si>
    <t>0.7 (@ 8V), 21 (@ -10V)</t>
  </si>
  <si>
    <t>26.2, 854</t>
  </si>
  <si>
    <t>10, 15</t>
  </si>
  <si>
    <t>DMC25D1UVT</t>
  </si>
  <si>
    <t>25, 12</t>
  </si>
  <si>
    <t>0.5, 3.9</t>
  </si>
  <si>
    <t>4000, 55</t>
  </si>
  <si>
    <t>, 70</t>
  </si>
  <si>
    <t>, 100</t>
  </si>
  <si>
    <t>0.65, 0.35</t>
  </si>
  <si>
    <t>0.4, 24.5</t>
  </si>
  <si>
    <t>0.9,</t>
  </si>
  <si>
    <t>27.6, 9.7</t>
  </si>
  <si>
    <t>10, 6</t>
  </si>
  <si>
    <t>DMC2700UDM</t>
  </si>
  <si>
    <t>1.34, 1.14</t>
  </si>
  <si>
    <t>400, 700</t>
  </si>
  <si>
    <t>500, 900</t>
  </si>
  <si>
    <t>700, 1300</t>
  </si>
  <si>
    <t>0.74, 0.62</t>
  </si>
  <si>
    <t>60.67, 59.76</t>
  </si>
  <si>
    <t>SOT26</t>
  </si>
  <si>
    <t>DMC2710UDW</t>
  </si>
  <si>
    <t>450, 750</t>
  </si>
  <si>
    <t>600, 1050</t>
  </si>
  <si>
    <t>750, 1500</t>
  </si>
  <si>
    <t>0.6, 0.7</t>
  </si>
  <si>
    <t>42, 49</t>
  </si>
  <si>
    <t>DMC2710UDWQ</t>
  </si>
  <si>
    <t>42,  49</t>
  </si>
  <si>
    <t>DMC2710UV</t>
  </si>
  <si>
    <t>1.1, 0.8</t>
  </si>
  <si>
    <t>DMC2710UVQ</t>
  </si>
  <si>
    <t>DMC2710UVT</t>
  </si>
  <si>
    <t>20V COMPLEMENTARY PAIR ENHANCEMENT MODE MOSFET</t>
  </si>
  <si>
    <t>1.2, 0.9</t>
  </si>
  <si>
    <t>DMC2990UDJ</t>
  </si>
  <si>
    <t>0.45, 0.31</t>
  </si>
  <si>
    <t>27.6, 28.7</t>
  </si>
  <si>
    <t>15, 15</t>
  </si>
  <si>
    <t>SOT963</t>
  </si>
  <si>
    <t>DMC2990UDJQ</t>
  </si>
  <si>
    <t>DMC2991UDA</t>
  </si>
  <si>
    <t>0.48, 0.35</t>
  </si>
  <si>
    <t>1.0, 1.0</t>
  </si>
  <si>
    <t>0.35, 0.3</t>
  </si>
  <si>
    <t>21.5, 17</t>
  </si>
  <si>
    <t>16, 15</t>
  </si>
  <si>
    <t>DMC2991UDJ</t>
  </si>
  <si>
    <t>0.5, 0.36</t>
  </si>
  <si>
    <t>15, 16</t>
  </si>
  <si>
    <t>DMC2991UDR4</t>
  </si>
  <si>
    <t>0.28, 0.3</t>
  </si>
  <si>
    <t>14.6, 17</t>
  </si>
  <si>
    <t>X2-DFN1010-6 (Type UXC)</t>
  </si>
  <si>
    <t>DMC3016LDV</t>
  </si>
  <si>
    <t>30, 30</t>
  </si>
  <si>
    <t>21, 15</t>
  </si>
  <si>
    <t>12, 25</t>
  </si>
  <si>
    <t>2, 2.4</t>
  </si>
  <si>
    <t>9.5, 9.5</t>
  </si>
  <si>
    <t>21, 19.7</t>
  </si>
  <si>
    <t>1184, 1188</t>
  </si>
  <si>
    <t>PowerDI3333-8 (Type UXC)</t>
  </si>
  <si>
    <t>DMC3016LNS</t>
  </si>
  <si>
    <t>9, 6.8</t>
  </si>
  <si>
    <t>16, 28</t>
  </si>
  <si>
    <t>20, 38</t>
  </si>
  <si>
    <t>PowerDI3333-8 (Type UXB)</t>
  </si>
  <si>
    <t>DMC3016LSD</t>
  </si>
  <si>
    <t>8.2, 6.2</t>
  </si>
  <si>
    <t>11.3, 10.9</t>
  </si>
  <si>
    <t>25.1, 22</t>
  </si>
  <si>
    <t>1415, 1241</t>
  </si>
  <si>
    <t>DMC3020UDVW</t>
  </si>
  <si>
    <t>20, 17</t>
  </si>
  <si>
    <t>31, 42</t>
  </si>
  <si>
    <t>40, 75</t>
  </si>
  <si>
    <t>0.4, 1</t>
  </si>
  <si>
    <t>1.85, 2.1</t>
  </si>
  <si>
    <t>4.6, 6.6</t>
  </si>
  <si>
    <t>8.8, 13.6</t>
  </si>
  <si>
    <t xml:space="preserve">383, 782 </t>
  </si>
  <si>
    <t>PowerDI3333-8/SWP (Type UXD)</t>
  </si>
  <si>
    <t>DMC3021LSD</t>
  </si>
  <si>
    <t>8.5, 7</t>
  </si>
  <si>
    <t>21, 39</t>
  </si>
  <si>
    <t>32, 53</t>
  </si>
  <si>
    <t>2.1, 2.2</t>
  </si>
  <si>
    <t>7.8, 10.1</t>
  </si>
  <si>
    <t>16.1, 21.1</t>
  </si>
  <si>
    <t>767, 1002</t>
  </si>
  <si>
    <t>DMC3021LSDQ</t>
  </si>
  <si>
    <t>DMC3025LDV</t>
  </si>
  <si>
    <t>35, 38</t>
  </si>
  <si>
    <t>4.6, 9.5</t>
  </si>
  <si>
    <t>9.8, 19.7</t>
  </si>
  <si>
    <t>500, 1188</t>
  </si>
  <si>
    <t>DMC3025LNS</t>
  </si>
  <si>
    <t>7.2, 6.8</t>
  </si>
  <si>
    <t>25, 28</t>
  </si>
  <si>
    <t>DMC3025LSD</t>
  </si>
  <si>
    <t>30V COMPLEMENTARY ENHANCEMENT MODE MOSFET</t>
  </si>
  <si>
    <t>8.5, 5.5</t>
  </si>
  <si>
    <t>20, 45</t>
  </si>
  <si>
    <t>32, 85</t>
  </si>
  <si>
    <t>2, 2</t>
  </si>
  <si>
    <t>4.6, 5.1</t>
  </si>
  <si>
    <t>9.8, 10.5</t>
  </si>
  <si>
    <t>501, 590</t>
  </si>
  <si>
    <t>25,25</t>
  </si>
  <si>
    <t>DMC3025LSDQ</t>
  </si>
  <si>
    <t>DMC3026LSD</t>
  </si>
  <si>
    <t>6.5, 6.2</t>
  </si>
  <si>
    <t>29, 38</t>
  </si>
  <si>
    <t>6, 10.9</t>
  </si>
  <si>
    <t>DMC3028LSD</t>
  </si>
  <si>
    <t>7.1, 7.4</t>
  </si>
  <si>
    <t>28, 25</t>
  </si>
  <si>
    <t>45, 41</t>
  </si>
  <si>
    <t>5.2, 16.4</t>
  </si>
  <si>
    <t>10.5, 31.6</t>
  </si>
  <si>
    <t>472, 1678</t>
  </si>
  <si>
    <t>DMC3028LSDX</t>
  </si>
  <si>
    <t>7.2, 7.6</t>
  </si>
  <si>
    <t>27, 25</t>
  </si>
  <si>
    <t>35, 41</t>
  </si>
  <si>
    <t>13.2, 22</t>
  </si>
  <si>
    <t>641, 1241</t>
  </si>
  <si>
    <t>DMC3028LSDXQ</t>
  </si>
  <si>
    <t>30V COMPLEMENTARY PAIR ENHANCEMENT MODE MOSFET</t>
  </si>
  <si>
    <t>DMC3032LFDB</t>
  </si>
  <si>
    <t>5.3, 3.4</t>
  </si>
  <si>
    <t>30, 70</t>
  </si>
  <si>
    <t>42, 100</t>
  </si>
  <si>
    <t>2.0, 2.1</t>
  </si>
  <si>
    <t>5.0, 4.0</t>
  </si>
  <si>
    <t>10.6, 7.8</t>
  </si>
  <si>
    <t>500, 336</t>
  </si>
  <si>
    <t>15, 25</t>
  </si>
  <si>
    <t>DMC3032LSD</t>
  </si>
  <si>
    <t>8.1, 7</t>
  </si>
  <si>
    <t>32, 39</t>
  </si>
  <si>
    <t>46, 53</t>
  </si>
  <si>
    <t>, 10.1</t>
  </si>
  <si>
    <t>9.2, 21.1</t>
  </si>
  <si>
    <t>404.5, 1002</t>
  </si>
  <si>
    <t>DMC3060LVT</t>
  </si>
  <si>
    <t>3.6, 2.8</t>
  </si>
  <si>
    <t>60, 95</t>
  </si>
  <si>
    <t>100 ,140</t>
  </si>
  <si>
    <t>1.8, 2.1</t>
  </si>
  <si>
    <t>5.6, 4.4</t>
  </si>
  <si>
    <t>11.3, 8.6</t>
  </si>
  <si>
    <t>395, 324</t>
  </si>
  <si>
    <t>DMC3060LVTQ</t>
  </si>
  <si>
    <t>100, 140</t>
  </si>
  <si>
    <t>DMC3061SVTQ</t>
  </si>
  <si>
    <t>3.4, 2.7</t>
  </si>
  <si>
    <t>1.8, 2.2</t>
  </si>
  <si>
    <t>3.5, 3.5</t>
  </si>
  <si>
    <t>6.6, 6.8</t>
  </si>
  <si>
    <t>278, 287</t>
  </si>
  <si>
    <t>DMC3071LVT</t>
  </si>
  <si>
    <t>4.6, 3.3</t>
  </si>
  <si>
    <t>50, 95</t>
  </si>
  <si>
    <t>90, 140</t>
  </si>
  <si>
    <t>2.5, 2.5</t>
  </si>
  <si>
    <t>2.1, 3.1</t>
  </si>
  <si>
    <t>4.5, 6.5</t>
  </si>
  <si>
    <t>190, 254</t>
  </si>
  <si>
    <t>DMC31D5UDA</t>
  </si>
  <si>
    <t>0.4, 0.22</t>
  </si>
  <si>
    <t>1500 ,5000</t>
  </si>
  <si>
    <t>2000 ,6000</t>
  </si>
  <si>
    <t>3000, 7000</t>
  </si>
  <si>
    <t>0.38, 0.35</t>
  </si>
  <si>
    <t>22.6, 21.8</t>
  </si>
  <si>
    <t>DMC31D5UDAQ</t>
  </si>
  <si>
    <t>12 ,12</t>
  </si>
  <si>
    <t>1.0,  1.0</t>
  </si>
  <si>
    <t>15 15</t>
  </si>
  <si>
    <t>DMC31D5UDJ</t>
  </si>
  <si>
    <t>0.22, 0.2</t>
  </si>
  <si>
    <t>1500, 5000</t>
  </si>
  <si>
    <t>DMC3350LDW</t>
  </si>
  <si>
    <t>0.9, 0.6</t>
  </si>
  <si>
    <t>400, 900</t>
  </si>
  <si>
    <t>700, 1700</t>
  </si>
  <si>
    <t>0.8, 1</t>
  </si>
  <si>
    <t>1.6, 2.6</t>
  </si>
  <si>
    <t>1.1, 0.36</t>
  </si>
  <si>
    <t>38.4, 19</t>
  </si>
  <si>
    <t>DMC3350LDWQ</t>
  </si>
  <si>
    <t>DMC3400SDW</t>
  </si>
  <si>
    <t>0.65, 0.45</t>
  </si>
  <si>
    <t>1.4, 1.3</t>
  </si>
  <si>
    <t>54, 55</t>
  </si>
  <si>
    <t>DMC3401LDW</t>
  </si>
  <si>
    <t>0.8, 0.55</t>
  </si>
  <si>
    <t>1.2, 0.8</t>
  </si>
  <si>
    <t>50, 19</t>
  </si>
  <si>
    <t>DMC3730UFL3</t>
  </si>
  <si>
    <t>1.1, 0.7</t>
  </si>
  <si>
    <t>460, 1000</t>
  </si>
  <si>
    <t>560, 1500</t>
  </si>
  <si>
    <t>730, 2000</t>
  </si>
  <si>
    <t>0.95, 1.1</t>
  </si>
  <si>
    <t>0.9, 0.9</t>
  </si>
  <si>
    <t>65.9, 83</t>
  </si>
  <si>
    <t>X2-DFN1310-6 (Type B)</t>
  </si>
  <si>
    <t>DMC3730UVT</t>
  </si>
  <si>
    <t>0.68, 0.46</t>
  </si>
  <si>
    <t>450, 1100</t>
  </si>
  <si>
    <t>600, 1500</t>
  </si>
  <si>
    <t>730, 2200</t>
  </si>
  <si>
    <t>0.45, 0.5</t>
  </si>
  <si>
    <t>1.1, 1.1</t>
  </si>
  <si>
    <t>1.64, 1.1</t>
  </si>
  <si>
    <t>50, 63</t>
  </si>
  <si>
    <t>DMC3732UVT</t>
  </si>
  <si>
    <t>40.8, 50</t>
  </si>
  <si>
    <t>25, 15</t>
  </si>
  <si>
    <t>DMC3732UVTQ</t>
  </si>
  <si>
    <t>DMC4015SSD</t>
  </si>
  <si>
    <t>40, 40</t>
  </si>
  <si>
    <t>12.2, 8.8</t>
  </si>
  <si>
    <t>15, 29</t>
  </si>
  <si>
    <t>19, 17</t>
  </si>
  <si>
    <t>40, 34</t>
  </si>
  <si>
    <t>1810, 1626</t>
  </si>
  <si>
    <t>DMC4028SSD</t>
  </si>
  <si>
    <t>7.2, 5.2</t>
  </si>
  <si>
    <t>28, 50</t>
  </si>
  <si>
    <t>49, 79</t>
  </si>
  <si>
    <t>6.5, 7</t>
  </si>
  <si>
    <t>12.9, 14</t>
  </si>
  <si>
    <t>604, 674</t>
  </si>
  <si>
    <t>DMC4029SK4</t>
  </si>
  <si>
    <t>8.3, 6.1</t>
  </si>
  <si>
    <t>24, 45</t>
  </si>
  <si>
    <t>32, 55</t>
  </si>
  <si>
    <t>8.8, 10.6</t>
  </si>
  <si>
    <t>19.1, 21.5</t>
  </si>
  <si>
    <t>1060, 1154</t>
  </si>
  <si>
    <t>TO252-4</t>
  </si>
  <si>
    <t>DMC4029SSD</t>
  </si>
  <si>
    <t>9, 6.5</t>
  </si>
  <si>
    <t>DMC4040SSDQ</t>
  </si>
  <si>
    <t>7.5, 7.3</t>
  </si>
  <si>
    <t>40, 45</t>
  </si>
  <si>
    <t>1.8, 1.8</t>
  </si>
  <si>
    <t>16, 14</t>
  </si>
  <si>
    <t>37.6, 33.7</t>
  </si>
  <si>
    <t>1790, 1643</t>
  </si>
  <si>
    <t>DMC4047LSD</t>
  </si>
  <si>
    <t>6.9, 5.1</t>
  </si>
  <si>
    <t>2.4, 2.2</t>
  </si>
  <si>
    <t>DMC4050SSDQ</t>
  </si>
  <si>
    <t>40V COMPLEMENTARY PAIR ENHANCEMENT MODE MOSFET</t>
  </si>
  <si>
    <t>5.8, 5.8</t>
  </si>
  <si>
    <t>45, 45</t>
  </si>
  <si>
    <t>60, 60</t>
  </si>
  <si>
    <t>DMC6022SSD</t>
  </si>
  <si>
    <t>60,60</t>
  </si>
  <si>
    <t>6,5</t>
  </si>
  <si>
    <t>34(6V),70</t>
  </si>
  <si>
    <t>14,14.5</t>
  </si>
  <si>
    <t>32.30.6</t>
  </si>
  <si>
    <t>2110,1525</t>
  </si>
  <si>
    <t>30,30</t>
  </si>
  <si>
    <t>DMC6040SSD</t>
  </si>
  <si>
    <t>6.5, 3.9</t>
  </si>
  <si>
    <t>40, 110</t>
  </si>
  <si>
    <t>55, 130</t>
  </si>
  <si>
    <t>9.4, 9.5</t>
  </si>
  <si>
    <t>20.8, 19.4</t>
  </si>
  <si>
    <t>1130, 1030</t>
  </si>
  <si>
    <t>DMC6040SSDQ</t>
  </si>
  <si>
    <t>60V COMPLEMENTARY PAIR ENHANCEMENT MODE MOSFET</t>
  </si>
  <si>
    <t>DMC6070LND</t>
  </si>
  <si>
    <t>3.1, 2.4</t>
  </si>
  <si>
    <t>85, 150</t>
  </si>
  <si>
    <t>120, 250</t>
  </si>
  <si>
    <t>5.2, 4.3</t>
  </si>
  <si>
    <t>11.5, 8.9</t>
  </si>
  <si>
    <t>731, 612</t>
  </si>
  <si>
    <t>DMC62D0SVQ</t>
  </si>
  <si>
    <t>0.3, 0.2</t>
  </si>
  <si>
    <t>1700, 1700</t>
  </si>
  <si>
    <t>3000, 3000</t>
  </si>
  <si>
    <t>30, 26</t>
  </si>
  <si>
    <t>DMC62D2SV</t>
  </si>
  <si>
    <t>0.48,0.32</t>
  </si>
  <si>
    <t>1700, 4000</t>
  </si>
  <si>
    <t>3000, 6000</t>
  </si>
  <si>
    <t>2.5,3</t>
  </si>
  <si>
    <t>0.51,0.5</t>
  </si>
  <si>
    <t>1.04,1.1</t>
  </si>
  <si>
    <t>41,40</t>
  </si>
  <si>
    <t>30,25</t>
  </si>
  <si>
    <t>DMC62D2SVQ</t>
  </si>
  <si>
    <t>DMC67D8UFDBQ</t>
  </si>
  <si>
    <t>60, 20</t>
  </si>
  <si>
    <t>20, 12</t>
  </si>
  <si>
    <t>0.39, 2.9</t>
  </si>
  <si>
    <t>4000,</t>
  </si>
  <si>
    <t>4100, 72</t>
  </si>
  <si>
    <t>2.5, 1.25</t>
  </si>
  <si>
    <t>0.4,7.3</t>
  </si>
  <si>
    <t>41, 443</t>
  </si>
  <si>
    <t>25,16</t>
  </si>
  <si>
    <t>DMG1012T</t>
  </si>
  <si>
    <t>N-Channel Mosfet</t>
  </si>
  <si>
    <t>DMG1012UW</t>
  </si>
  <si>
    <t>DMG1012UWQ</t>
  </si>
  <si>
    <t>DMG1013T</t>
  </si>
  <si>
    <t>DMG1013TQ</t>
  </si>
  <si>
    <t>20V P-CHANNEL ENHANCEMENT MODE MOSFET</t>
  </si>
  <si>
    <t>DMG1013UW</t>
  </si>
  <si>
    <t>DMG1013UWQ</t>
  </si>
  <si>
    <t>DMG1016UDW</t>
  </si>
  <si>
    <t>1.07, 0.85</t>
  </si>
  <si>
    <t>10, 16</t>
  </si>
  <si>
    <t>DMG1016V</t>
  </si>
  <si>
    <t>0.87, 0.64</t>
  </si>
  <si>
    <t>DMG1023UV</t>
  </si>
  <si>
    <t>DMG1023UVQ</t>
  </si>
  <si>
    <t>DMG1024UV</t>
  </si>
  <si>
    <t>DMG1026UVQ</t>
  </si>
  <si>
    <t>DMG1029SVQ</t>
  </si>
  <si>
    <t>2.5, 3</t>
  </si>
  <si>
    <t>0.3, 0.28</t>
  </si>
  <si>
    <t>DMG2301L</t>
  </si>
  <si>
    <t>DMG2301LK</t>
  </si>
  <si>
    <t>DMG2301U</t>
  </si>
  <si>
    <t>DMG2302UK</t>
  </si>
  <si>
    <t>DMG2302UKQ</t>
  </si>
  <si>
    <t>DMG2305UX</t>
  </si>
  <si>
    <t>DMG2305UXQ</t>
  </si>
  <si>
    <t>DMG301NU</t>
  </si>
  <si>
    <t>DMG302PU</t>
  </si>
  <si>
    <t>DMG3401LSN</t>
  </si>
  <si>
    <t>30V P-CHANNEL ENHANCEMENT MODE MOSFET</t>
  </si>
  <si>
    <t>DMG3401LSNQ</t>
  </si>
  <si>
    <t>DMG3402L</t>
  </si>
  <si>
    <t>DMG3402LQ</t>
  </si>
  <si>
    <t>DMG3404L</t>
  </si>
  <si>
    <t>30V N-CHANNEL ENHANCEMENT MODE MOSFET</t>
  </si>
  <si>
    <t>DMG3406L</t>
  </si>
  <si>
    <t>DMG3407SSN</t>
  </si>
  <si>
    <t>DMG3413L</t>
  </si>
  <si>
    <t>DMG3414U</t>
  </si>
  <si>
    <t>DMG3414UQ</t>
  </si>
  <si>
    <t>DMG3415UFY4Q</t>
  </si>
  <si>
    <t>X2-DFN2015-3</t>
  </si>
  <si>
    <t>DMG3418L</t>
  </si>
  <si>
    <t>DMG3420UQ</t>
  </si>
  <si>
    <t>DMG4466SSS</t>
  </si>
  <si>
    <t>DMG4466SSSL</t>
  </si>
  <si>
    <t>DMG4468LFG</t>
  </si>
  <si>
    <t>U-DFN3030-8</t>
  </si>
  <si>
    <t>DMG4468LK3</t>
  </si>
  <si>
    <t>TO252 (DPAK)</t>
  </si>
  <si>
    <t>DMG4496SSS</t>
  </si>
  <si>
    <t>DMG4511SK4</t>
  </si>
  <si>
    <t>35, 35</t>
  </si>
  <si>
    <t>13, 12</t>
  </si>
  <si>
    <t>35, 45</t>
  </si>
  <si>
    <t>65, 65</t>
  </si>
  <si>
    <t>8.8, 9.5</t>
  </si>
  <si>
    <t>18.7, 19.2</t>
  </si>
  <si>
    <t>850, 985</t>
  </si>
  <si>
    <t>DMG4800LFG</t>
  </si>
  <si>
    <t>9.47 (@5V)</t>
  </si>
  <si>
    <t>DMG4800LK3</t>
  </si>
  <si>
    <t>8.7 (@5V)</t>
  </si>
  <si>
    <t>DMG4800LSD</t>
  </si>
  <si>
    <t>8.56 (@5V)</t>
  </si>
  <si>
    <t>DMG4822SSD</t>
  </si>
  <si>
    <t>DMG5802LFX</t>
  </si>
  <si>
    <t>W-DFN5020-6</t>
  </si>
  <si>
    <t>DMG6301UDW</t>
  </si>
  <si>
    <t>DMG6302UDW</t>
  </si>
  <si>
    <t>13000 (@2.7V)</t>
  </si>
  <si>
    <t>DMG6402LVT</t>
  </si>
  <si>
    <t>DMG6601LVT</t>
  </si>
  <si>
    <t>3.8, 2.5</t>
  </si>
  <si>
    <t>55, 110</t>
  </si>
  <si>
    <t>65, 142</t>
  </si>
  <si>
    <t>85, 190</t>
  </si>
  <si>
    <t>1.5, 1.2</t>
  </si>
  <si>
    <t>5.4, 6.5</t>
  </si>
  <si>
    <t>12.3, 13.8</t>
  </si>
  <si>
    <t>422, 541</t>
  </si>
  <si>
    <t>DMG6898LSD</t>
  </si>
  <si>
    <t>DMG6968UDM</t>
  </si>
  <si>
    <t>DMG6968UTS</t>
  </si>
  <si>
    <t>TSSOP-8</t>
  </si>
  <si>
    <t>DMG7410SFG</t>
  </si>
  <si>
    <t>PowerDI3333-8</t>
  </si>
  <si>
    <t>DMG7430LFG</t>
  </si>
  <si>
    <t>DMG7430LFGQ</t>
  </si>
  <si>
    <t>DMG8601UFG</t>
  </si>
  <si>
    <t>DMG8822UTS</t>
  </si>
  <si>
    <t>DMG8880LK3</t>
  </si>
  <si>
    <t>14.4 (@5V)</t>
  </si>
  <si>
    <t>DMG9926UDM</t>
  </si>
  <si>
    <t>DMG9926USD</t>
  </si>
  <si>
    <t>DMG9933USD</t>
  </si>
  <si>
    <t>DMGD7N45SSD</t>
  </si>
  <si>
    <t>DMHC10H170SFJ</t>
  </si>
  <si>
    <t>100V COMPLEMENTARY ENHANCEMENT MODE MOSFET H-BRIDGE</t>
  </si>
  <si>
    <t>2N2P</t>
  </si>
  <si>
    <t>2.3, 2.9</t>
  </si>
  <si>
    <t>250, 160</t>
  </si>
  <si>
    <t>300, 200</t>
  </si>
  <si>
    <t>17.5, 9.7</t>
  </si>
  <si>
    <t>1239, 1167</t>
  </si>
  <si>
    <t>V-DFN5045-12</t>
  </si>
  <si>
    <t>DMHC3025LSD</t>
  </si>
  <si>
    <t>30V COMPLEMENTARY ENHANCEMENT MODE MOSFET H-BRIDGE</t>
  </si>
  <si>
    <t>6, 4.2</t>
  </si>
  <si>
    <t>25, 50</t>
  </si>
  <si>
    <t>40, 80</t>
  </si>
  <si>
    <t>11.7, 11.4</t>
  </si>
  <si>
    <t>590, 631</t>
  </si>
  <si>
    <t>DMHC3025LSDQ</t>
  </si>
  <si>
    <t>DMHC4035LSD</t>
  </si>
  <si>
    <t>40V COMPLEMENTARY ENHANCEMENT MODE MOSFET H-BRIDGE</t>
  </si>
  <si>
    <t>4.5, 3.7</t>
  </si>
  <si>
    <t>45, 65</t>
  </si>
  <si>
    <t>58, 100</t>
  </si>
  <si>
    <t>12.5, 11.1</t>
  </si>
  <si>
    <t>574, 587</t>
  </si>
  <si>
    <t>DMHC4035LSDQ</t>
  </si>
  <si>
    <t>DMHC6070LSD</t>
  </si>
  <si>
    <t>60V COMPLEMENTARY ENHANCEMENT MODE MOSFET H-BRIDGE</t>
  </si>
  <si>
    <t>100, 170</t>
  </si>
  <si>
    <t>731, 618</t>
  </si>
  <si>
    <t>DMHT10H032LFJ</t>
  </si>
  <si>
    <t>100V N-CHANNEL ENHANCEMENT MODE MOSFET</t>
  </si>
  <si>
    <t>DMHT3006LFJ</t>
  </si>
  <si>
    <t>30V N-CHANNEL ENHANCEMENT MODE MOSFET H-BRIDGE</t>
  </si>
  <si>
    <t>4N</t>
  </si>
  <si>
    <t>V-DFN5045-12 (Type C)</t>
  </si>
  <si>
    <t>DMHT6016LFJ</t>
  </si>
  <si>
    <t>60V N-CHANNEL ENHANCEMENT MODE MOSFET H-BRIDGE</t>
  </si>
  <si>
    <t>V-DFN5045-12 (Type B)</t>
  </si>
  <si>
    <t>DMN1001UCA10</t>
  </si>
  <si>
    <t>12V N-CHANNEL ENHANCEMENT MODE MOSFET</t>
  </si>
  <si>
    <t>29 (@4V)</t>
  </si>
  <si>
    <t>X2-TSN1820-10</t>
  </si>
  <si>
    <t>DMN1002UCA6</t>
  </si>
  <si>
    <t>45.7 (@4V)</t>
  </si>
  <si>
    <t>X4-DSN3118-6</t>
  </si>
  <si>
    <t>DMN1003UCA6</t>
  </si>
  <si>
    <t>X3-DSN3518-6</t>
  </si>
  <si>
    <t>DMN1003UFDE</t>
  </si>
  <si>
    <t>12V N-Channel Enhancement Mode MOSFET</t>
  </si>
  <si>
    <t>U-DFN2020-6 (Type E)</t>
  </si>
  <si>
    <t>DMN1004UFDF</t>
  </si>
  <si>
    <t>U-DFN2020-6 (Type F)</t>
  </si>
  <si>
    <t>DMN1004UFV</t>
  </si>
  <si>
    <t>47 (@8V)</t>
  </si>
  <si>
    <t>PowerDI3333-8 (Type UX)</t>
  </si>
  <si>
    <t>DMN1005UFDF</t>
  </si>
  <si>
    <t>DMN1006UCA6</t>
  </si>
  <si>
    <t>X3-DSN2718-6</t>
  </si>
  <si>
    <t>DMN1008UFDF</t>
  </si>
  <si>
    <t>23.4 (@8V)</t>
  </si>
  <si>
    <t>DMN1008UFDFQ</t>
  </si>
  <si>
    <t>DMN1014UFDF</t>
  </si>
  <si>
    <t>DMN1017UCP3</t>
  </si>
  <si>
    <t>10.5 (@3.3V)</t>
  </si>
  <si>
    <t>X3-DSN1010-3</t>
  </si>
  <si>
    <t>DMN1019UFDE</t>
  </si>
  <si>
    <t>50.6 (@8V)</t>
  </si>
  <si>
    <t>DMN1019USN</t>
  </si>
  <si>
    <t>DMN1019USNQ</t>
  </si>
  <si>
    <t>DMN1019UVT</t>
  </si>
  <si>
    <t>50.4 (@8V)</t>
  </si>
  <si>
    <t>DMN1021UCA4</t>
  </si>
  <si>
    <t>X2-TSN0808-4</t>
  </si>
  <si>
    <t>DMN1025UFDB</t>
  </si>
  <si>
    <t>23.1 (@8V)</t>
  </si>
  <si>
    <t>DMN1029UFDB</t>
  </si>
  <si>
    <t>19.6 (@8V)</t>
  </si>
  <si>
    <t>DMN1032UCP4</t>
  </si>
  <si>
    <t>X1-DSN1010-4 (Type B)</t>
  </si>
  <si>
    <t>DMN1045UFR4</t>
  </si>
  <si>
    <t>X2-DFN1010-3</t>
  </si>
  <si>
    <t>DMN1053UCP4</t>
  </si>
  <si>
    <t>X3-DSN0808-4</t>
  </si>
  <si>
    <t>DMN1054UCB4</t>
  </si>
  <si>
    <t>X1-WLB0808-4</t>
  </si>
  <si>
    <t>DMN10H099SFG</t>
  </si>
  <si>
    <t>99 (@6V)</t>
  </si>
  <si>
    <t>DMN10H099SK3</t>
  </si>
  <si>
    <t>DMN10H100SK3</t>
  </si>
  <si>
    <t>DMN10H120SE</t>
  </si>
  <si>
    <t>122 (@6V)</t>
  </si>
  <si>
    <t>SOT223</t>
  </si>
  <si>
    <t>DMN10H120SFG</t>
  </si>
  <si>
    <t>DMN10H170SFDE</t>
  </si>
  <si>
    <t>DMN10H170SFG</t>
  </si>
  <si>
    <t>870.7 @ 25V</t>
  </si>
  <si>
    <t>DMN10H170SFGQ</t>
  </si>
  <si>
    <t>DMN10H170SK3</t>
  </si>
  <si>
    <t>DMN10H170SK3Q</t>
  </si>
  <si>
    <t>DMN10H170SVT</t>
  </si>
  <si>
    <t>DMN10H170SVTQ</t>
  </si>
  <si>
    <t>DMN10H220L</t>
  </si>
  <si>
    <t>DMN10H220LDV</t>
  </si>
  <si>
    <t>100V DUAL N-CHANNEL ENHANCEMENT MODE MOSFET</t>
  </si>
  <si>
    <t>DMN10H220LE</t>
  </si>
  <si>
    <t>DMN10H220LFDF</t>
  </si>
  <si>
    <t>DMN10H220LFVW</t>
  </si>
  <si>
    <t>PowerDI3333-8 (SWP)</t>
  </si>
  <si>
    <t>DMN10H220LK3</t>
  </si>
  <si>
    <t>DMN10H220LPDW</t>
  </si>
  <si>
    <t>PowerDI5060-8 (SWP) (Type R)</t>
  </si>
  <si>
    <t>DMN10H220LQ</t>
  </si>
  <si>
    <t>DMN10H220LVT</t>
  </si>
  <si>
    <t>DMN10H6D2LFDB</t>
  </si>
  <si>
    <t>DMN10H700S</t>
  </si>
  <si>
    <t>900 (@6V)</t>
  </si>
  <si>
    <t>DMN1150UFB</t>
  </si>
  <si>
    <t>X1-DFN1006-3</t>
  </si>
  <si>
    <t>DMN1150UFL3</t>
  </si>
  <si>
    <t>DMN11M1UCA14</t>
  </si>
  <si>
    <t>N-Channel Enhancement Mode MOSFET</t>
  </si>
  <si>
    <t>X4-DSN3027-14</t>
  </si>
  <si>
    <t>DMN1250UFEL</t>
  </si>
  <si>
    <t>8N</t>
  </si>
  <si>
    <t>U-QFN1515-12</t>
  </si>
  <si>
    <t>DMN1260UFA</t>
  </si>
  <si>
    <t>X2-DFN0806-3</t>
  </si>
  <si>
    <t>DMN12M3UCA6</t>
  </si>
  <si>
    <t>14V N-CHANNEL ENHANCEMENT MODE MOSFET</t>
  </si>
  <si>
    <t>DMN12M7UCA10</t>
  </si>
  <si>
    <t>35.7 (@4V)</t>
  </si>
  <si>
    <t>X4-DSN3015-10</t>
  </si>
  <si>
    <t>DMN12M8UCA10</t>
  </si>
  <si>
    <t>4(@4V)</t>
  </si>
  <si>
    <t>DMN13H750S</t>
  </si>
  <si>
    <t>850 (@6V)</t>
  </si>
  <si>
    <t>DMN13M9UCA6</t>
  </si>
  <si>
    <t>X3-DSN3518-6 (Type B)</t>
  </si>
  <si>
    <t>DMN14M8UFDF</t>
  </si>
  <si>
    <t>DMN15H310SE</t>
  </si>
  <si>
    <t>330 (@5V)</t>
  </si>
  <si>
    <t>4.6 (@5V)</t>
  </si>
  <si>
    <t>DMN15H310SK3</t>
  </si>
  <si>
    <t>150V N-CHANNEL ENHANCEMENT MODE MOSFET</t>
  </si>
  <si>
    <t>DMN15M3UCA6</t>
  </si>
  <si>
    <t>DMN15M5UCA4</t>
  </si>
  <si>
    <t>6 (@ 3.3V)</t>
  </si>
  <si>
    <t>21.7 (@ 4V)</t>
  </si>
  <si>
    <t>X4-DSN1815-4</t>
  </si>
  <si>
    <t>DMN15M5UCA6</t>
  </si>
  <si>
    <t>X4-DSN2117-6</t>
  </si>
  <si>
    <t>DMN16M0UCA6</t>
  </si>
  <si>
    <t>X4-DSN2112-6</t>
  </si>
  <si>
    <t>DMN16M7UCA6</t>
  </si>
  <si>
    <t>X4-DSN2718-6</t>
  </si>
  <si>
    <t>DMN16M8UCA6</t>
  </si>
  <si>
    <t>DMN16M9UCA6</t>
  </si>
  <si>
    <t>X3-DSN2718-6 (Type B)</t>
  </si>
  <si>
    <t>DMN2002UFG</t>
  </si>
  <si>
    <t>20V N-Channel Enhancement Mode MOSFET</t>
  </si>
  <si>
    <t>DMN2004DMK</t>
  </si>
  <si>
    <t>DMN2004DWK</t>
  </si>
  <si>
    <t>.95 (@8V)</t>
  </si>
  <si>
    <t>DMN2004K</t>
  </si>
  <si>
    <t>DMN2004TK</t>
  </si>
  <si>
    <t>DMN2004VK</t>
  </si>
  <si>
    <t>DMN2004WK</t>
  </si>
  <si>
    <t>DMN2004WKQ</t>
  </si>
  <si>
    <t>DMN2005DLP4K</t>
  </si>
  <si>
    <t>X2-DFN1310-6</t>
  </si>
  <si>
    <t>DMN2005K</t>
  </si>
  <si>
    <t>DMN2005LP4K</t>
  </si>
  <si>
    <t>X2-DFN1006-3</t>
  </si>
  <si>
    <t>DMN2005LPK</t>
  </si>
  <si>
    <t>DMN2005UFG</t>
  </si>
  <si>
    <t>DMN2005UFGQ</t>
  </si>
  <si>
    <t>20V N-CHANNEL ENHANCEMENT MODE MOSFET</t>
  </si>
  <si>
    <t>DMN2005UPS</t>
  </si>
  <si>
    <t>PowerDI5060-8</t>
  </si>
  <si>
    <t>DMN2008LFU</t>
  </si>
  <si>
    <t>U-DFN2030-6 (Type B)</t>
  </si>
  <si>
    <t>DMN2009LSS</t>
  </si>
  <si>
    <t>DMN2009UCA4</t>
  </si>
  <si>
    <t>X4-DSN1717-4</t>
  </si>
  <si>
    <t>DMN2009UFDF</t>
  </si>
  <si>
    <t>DMN2009USS</t>
  </si>
  <si>
    <t>DMN2011UCA6</t>
  </si>
  <si>
    <t>X4-DSN1818-6</t>
  </si>
  <si>
    <t>DMN2011UFDE</t>
  </si>
  <si>
    <t>DMN2011UFDF</t>
  </si>
  <si>
    <t>DMN2011UFX</t>
  </si>
  <si>
    <t>V-DFN2050-4</t>
  </si>
  <si>
    <t>DMN2011UTS</t>
  </si>
  <si>
    <t>DMN2012UCA6</t>
  </si>
  <si>
    <t>DMN2013UFDE</t>
  </si>
  <si>
    <t>25.8 (@8V)</t>
  </si>
  <si>
    <t>DMN2013UFDEQ</t>
  </si>
  <si>
    <t>DMN2013UFX</t>
  </si>
  <si>
    <t>57.4 (@8V)</t>
  </si>
  <si>
    <t>DMN2014LHAB</t>
  </si>
  <si>
    <t>DMN2015UFDE</t>
  </si>
  <si>
    <t>DMN2015UFDF</t>
  </si>
  <si>
    <t>DMN2016LFG</t>
  </si>
  <si>
    <t>DMN2016LHAB</t>
  </si>
  <si>
    <t>DMN2016UFX</t>
  </si>
  <si>
    <t>DMN2016UTS</t>
  </si>
  <si>
    <t>DMN2019UTS</t>
  </si>
  <si>
    <t>DMN2020LSN</t>
  </si>
  <si>
    <t>DMN2020UFCL</t>
  </si>
  <si>
    <t>X1-DFN1616-6 (Type E)</t>
  </si>
  <si>
    <t>DMN2022UCA4</t>
  </si>
  <si>
    <t>DMN2022UFDF</t>
  </si>
  <si>
    <t>18 (@8V)</t>
  </si>
  <si>
    <t>DMN2022UNS</t>
  </si>
  <si>
    <t>DMN2023UCB4</t>
  </si>
  <si>
    <t>X1-WLB1818-4</t>
  </si>
  <si>
    <t>DMN2024LCA4</t>
  </si>
  <si>
    <t>21 (@ 6.5V)</t>
  </si>
  <si>
    <t>X4-DSN1313-4</t>
  </si>
  <si>
    <t>DMN2024U</t>
  </si>
  <si>
    <t>DMN2024UDH</t>
  </si>
  <si>
    <t>DMN2024UFDF</t>
  </si>
  <si>
    <t>DMN2024UFU</t>
  </si>
  <si>
    <t>DMN2024UFX</t>
  </si>
  <si>
    <t>DMN2024UQ</t>
  </si>
  <si>
    <t>DMN2024UTS</t>
  </si>
  <si>
    <t>DMN2024UVT</t>
  </si>
  <si>
    <t>DMN2024UVTQ</t>
  </si>
  <si>
    <t>DMN2025U</t>
  </si>
  <si>
    <t>DMN2025UFDB</t>
  </si>
  <si>
    <t>DUAL 20V N-CHANNEL ENHANCEMENT MODE MOSFET</t>
  </si>
  <si>
    <t>DMN2025UFDF</t>
  </si>
  <si>
    <t>DMN2026UVT</t>
  </si>
  <si>
    <t>18.4 (@8V)</t>
  </si>
  <si>
    <t>DMN2027UPS</t>
  </si>
  <si>
    <t>DMN2027USS</t>
  </si>
  <si>
    <t>DMN2028UFDF</t>
  </si>
  <si>
    <t>DMN2028UFDH</t>
  </si>
  <si>
    <t>V-DFN3030-8</t>
  </si>
  <si>
    <t>DMN2028UFU</t>
  </si>
  <si>
    <t>DMN2028USS</t>
  </si>
  <si>
    <t>DMN2028UVT</t>
  </si>
  <si>
    <t>DMN2029USD</t>
  </si>
  <si>
    <t>18.6 (@8V)</t>
  </si>
  <si>
    <t>DMN2029UVT</t>
  </si>
  <si>
    <t>DMN2030UCA4</t>
  </si>
  <si>
    <t>X4-DSN1111-4</t>
  </si>
  <si>
    <t>DMN2036UCB4</t>
  </si>
  <si>
    <t>X2-WLB1616-4</t>
  </si>
  <si>
    <t>DMN2040LTS</t>
  </si>
  <si>
    <t>DMN2040U</t>
  </si>
  <si>
    <t>DMN2040UQ</t>
  </si>
  <si>
    <t>DMN2040UVT</t>
  </si>
  <si>
    <t>DMN2041LSD</t>
  </si>
  <si>
    <t>DMN2041UFDB</t>
  </si>
  <si>
    <t>15 (@8V)</t>
  </si>
  <si>
    <t>DMN2041UVT</t>
  </si>
  <si>
    <t>DMN2044UCB4</t>
  </si>
  <si>
    <t>23.2 (@8V)</t>
  </si>
  <si>
    <t>U-WLB1010-4 (Type B)</t>
  </si>
  <si>
    <t>DMN2046U</t>
  </si>
  <si>
    <t>DMN2046UVT</t>
  </si>
  <si>
    <t>DMN2046UW</t>
  </si>
  <si>
    <t>DMN2050L</t>
  </si>
  <si>
    <t>DMN2050LFDB</t>
  </si>
  <si>
    <t>DMN2050LQ</t>
  </si>
  <si>
    <t>DMN2053U</t>
  </si>
  <si>
    <t>DMN2053UFDB</t>
  </si>
  <si>
    <t>DMN2053UFDBQ</t>
  </si>
  <si>
    <t>DMN2053UQ</t>
  </si>
  <si>
    <t>DMN2053UVT</t>
  </si>
  <si>
    <t>75V N-CHANNEL ENHANCEMENT MODE MOSFET</t>
  </si>
  <si>
    <t>DMN2053UVTQ</t>
  </si>
  <si>
    <t>DMN2053UW</t>
  </si>
  <si>
    <t>DMN2053UWQ</t>
  </si>
  <si>
    <t>DMN2055U</t>
  </si>
  <si>
    <t>DMN2055UQ</t>
  </si>
  <si>
    <t>DMN2055UW</t>
  </si>
  <si>
    <t>DMN2055UWQ</t>
  </si>
  <si>
    <t>DMN2056U</t>
  </si>
  <si>
    <t>DMN2058U</t>
  </si>
  <si>
    <t>DMN2058UW</t>
  </si>
  <si>
    <t>DMN2075U</t>
  </si>
  <si>
    <t>DMN2075UDW</t>
  </si>
  <si>
    <t>DMN2080UCB4</t>
  </si>
  <si>
    <t>X2-WLB0808-4 (Type B)</t>
  </si>
  <si>
    <t>DMN2100UDM</t>
  </si>
  <si>
    <t>DMN2120UFCL</t>
  </si>
  <si>
    <t>U-DFN1616-6</t>
  </si>
  <si>
    <t>DMN21D1UDA</t>
  </si>
  <si>
    <t>70V N-CHANNEL ENHANCEMENT MODE MOSFET</t>
  </si>
  <si>
    <t>DMN21D2UFB</t>
  </si>
  <si>
    <t>DMN2250UFB</t>
  </si>
  <si>
    <t>DMN22M5UCA10</t>
  </si>
  <si>
    <t>X4-DSN3221-10</t>
  </si>
  <si>
    <t>DMN22M5UFG</t>
  </si>
  <si>
    <t>DMN2300U</t>
  </si>
  <si>
    <t>DMN2300UFB</t>
  </si>
  <si>
    <t>DMN2300UFB4</t>
  </si>
  <si>
    <t>DMN2300UFD</t>
  </si>
  <si>
    <t>X1-DFN1212-3</t>
  </si>
  <si>
    <t>DMN2300UFL4</t>
  </si>
  <si>
    <t>DMN2300UFL4Q</t>
  </si>
  <si>
    <t>20V DUAL N-CHANNEL ENHANCEMENT MODE MOSFET</t>
  </si>
  <si>
    <t>DMN2310U</t>
  </si>
  <si>
    <t>DMN2310UFB4</t>
  </si>
  <si>
    <t>DMN2310UFD</t>
  </si>
  <si>
    <t>U-DFN1212-3 (Type C)</t>
  </si>
  <si>
    <t>DMN2310UT</t>
  </si>
  <si>
    <t>DMN2310UTQ</t>
  </si>
  <si>
    <t>DMN2310UW</t>
  </si>
  <si>
    <t>DMN2310UWQ</t>
  </si>
  <si>
    <t>DMN2320UFB4</t>
  </si>
  <si>
    <t>DMN2400UFB</t>
  </si>
  <si>
    <t>DMN2400UV</t>
  </si>
  <si>
    <t>DMN2450UFB4</t>
  </si>
  <si>
    <t>DMN2450UFB4Q</t>
  </si>
  <si>
    <t>DMN2450UFD</t>
  </si>
  <si>
    <t>DMN2451UFB4</t>
  </si>
  <si>
    <t>DMN2451UFB4Q</t>
  </si>
  <si>
    <t>DMN2451UFDQ</t>
  </si>
  <si>
    <t>DMN24H11DS</t>
  </si>
  <si>
    <t>DMN24H11DSQ</t>
  </si>
  <si>
    <t>DMN24H3D5L</t>
  </si>
  <si>
    <t>6000 (@3V)</t>
  </si>
  <si>
    <t>DMN2501UFB4</t>
  </si>
  <si>
    <t>DMN2550UFA</t>
  </si>
  <si>
    <t>DMN25D0UFA</t>
  </si>
  <si>
    <t>DMN2600UFB</t>
  </si>
  <si>
    <t>DMN26D0UT</t>
  </si>
  <si>
    <t>DMN2710UDW</t>
  </si>
  <si>
    <t>Dual N-CHANNEL ENHANCEMENT MODE MOSFET</t>
  </si>
  <si>
    <t>DMN2710UDWQ</t>
  </si>
  <si>
    <t>DMN2710UFB</t>
  </si>
  <si>
    <t>DMN2710UFBQ</t>
  </si>
  <si>
    <t>DMN2710UT</t>
  </si>
  <si>
    <t>DMN2710UTQ</t>
  </si>
  <si>
    <t>DMN2710UV</t>
  </si>
  <si>
    <t>Dual N-Channel Enhancement Mode MOSFET</t>
  </si>
  <si>
    <t>DMN2710UVQ</t>
  </si>
  <si>
    <t>DMN2710UW</t>
  </si>
  <si>
    <t>DMN2710UWQ</t>
  </si>
  <si>
    <t>DMN2990UDJ</t>
  </si>
  <si>
    <t>DMN2990UDJQ</t>
  </si>
  <si>
    <t>DMN2990UFA</t>
  </si>
  <si>
    <t>DMN2990UFB</t>
  </si>
  <si>
    <t>DMN2990UFO</t>
  </si>
  <si>
    <t>X2-DFN0604-3</t>
  </si>
  <si>
    <t>DMN2990UFZ</t>
  </si>
  <si>
    <t>X2-DFN0606-3</t>
  </si>
  <si>
    <t>DMN2991UDA</t>
  </si>
  <si>
    <t>DMN2991UDJ</t>
  </si>
  <si>
    <t>DMN2991UDR4</t>
  </si>
  <si>
    <t>DMN2991UFA</t>
  </si>
  <si>
    <t>DMN2991UFB4</t>
  </si>
  <si>
    <t>DMN2991UFB4Q</t>
  </si>
  <si>
    <t>DMN2991UFO</t>
  </si>
  <si>
    <t>DMN2991UFZ</t>
  </si>
  <si>
    <t>DMN2991UFZQ</t>
  </si>
  <si>
    <t>DMN2991UT</t>
  </si>
  <si>
    <t>DMN2991UTQ</t>
  </si>
  <si>
    <t>DMN2992UDR4</t>
  </si>
  <si>
    <t>DMN2992UFA</t>
  </si>
  <si>
    <t>DMN2992UFB4</t>
  </si>
  <si>
    <t>DMN2992UFB4Q</t>
  </si>
  <si>
    <t>DMN2992UFO</t>
  </si>
  <si>
    <t>DMN2992UFZ</t>
  </si>
  <si>
    <t>DMN29M9UFDF</t>
  </si>
  <si>
    <t>DMN3006SCA6</t>
  </si>
  <si>
    <t>X4-DSN3519-6</t>
  </si>
  <si>
    <t>DMN3007LSS</t>
  </si>
  <si>
    <t>DMN3007LSSQ</t>
  </si>
  <si>
    <t>30V N-Channel Enhancement Mode MOSFET</t>
  </si>
  <si>
    <t>DMN3008SCP10</t>
  </si>
  <si>
    <t>X4-DSN3415-10</t>
  </si>
  <si>
    <t>DMN3008SFG</t>
  </si>
  <si>
    <t>DMN3008SFGQ</t>
  </si>
  <si>
    <t>DMN3009LFV</t>
  </si>
  <si>
    <t>DMN3009LFVQ</t>
  </si>
  <si>
    <t>DMN3009LFVW</t>
  </si>
  <si>
    <t>PowerDI3333-8/SWP (Type UX)</t>
  </si>
  <si>
    <t>DMN3009LFVWQ</t>
  </si>
  <si>
    <t>DMN3009SFG</t>
  </si>
  <si>
    <t>DMN3009SFGQ</t>
  </si>
  <si>
    <t>DMN3009SK3</t>
  </si>
  <si>
    <t>DMN3009SSS</t>
  </si>
  <si>
    <t>DMN3010LFG</t>
  </si>
  <si>
    <t>DMN3010LK3</t>
  </si>
  <si>
    <t>DMN3010LSS</t>
  </si>
  <si>
    <t>DMN3011LFVW</t>
  </si>
  <si>
    <t>NA</t>
  </si>
  <si>
    <t>DMN3011LFVWQ</t>
  </si>
  <si>
    <t>DMN3011LSS</t>
  </si>
  <si>
    <t>DMN3011LSSQ</t>
  </si>
  <si>
    <t>DMN3012LEG</t>
  </si>
  <si>
    <t>30V SYNCHRONOUS N-CHANNEL ENHANCEMENT MODE MOSFET</t>
  </si>
  <si>
    <t>12, 6</t>
  </si>
  <si>
    <t>2.1, 1.15</t>
  </si>
  <si>
    <t>4.7, 9.7</t>
  </si>
  <si>
    <t>650/1137</t>
  </si>
  <si>
    <t>PowerDI3333-8 (Type D)</t>
  </si>
  <si>
    <t>DMN3012LFG</t>
  </si>
  <si>
    <t>30V SYNCHRONOUS N-CHANNEL ENHANCEMENT MODE MOSFET POWERDI</t>
  </si>
  <si>
    <t>650, 1137</t>
  </si>
  <si>
    <t>DMN3013LDG</t>
  </si>
  <si>
    <t>14.3, 14.3 (@8V)</t>
  </si>
  <si>
    <t>16.1, 16.1</t>
  </si>
  <si>
    <t>1.2, 1.2</t>
  </si>
  <si>
    <t>3.3, 3.4</t>
  </si>
  <si>
    <t>DMN3013LFG</t>
  </si>
  <si>
    <t>DMN3015LSD</t>
  </si>
  <si>
    <t>DMN3016LDN</t>
  </si>
  <si>
    <t>30V DUAL N-CHANNEL ENHANCEMENT MODE MOSFET</t>
  </si>
  <si>
    <t>V-DFN3030-8 (Type J)</t>
  </si>
  <si>
    <t>DMN3016LDV</t>
  </si>
  <si>
    <t>DMN3016LFDE</t>
  </si>
  <si>
    <t>DMN3016LFDF</t>
  </si>
  <si>
    <t>DMN3016LFDFQ</t>
  </si>
  <si>
    <t>N-CHANNEL ENHANCEMENT MODE MOSFT</t>
  </si>
  <si>
    <t>DMN3016LK3</t>
  </si>
  <si>
    <t>DMN3016LPS</t>
  </si>
  <si>
    <t>DMN3016LSS</t>
  </si>
  <si>
    <t>DMN3018SFG</t>
  </si>
  <si>
    <t>DMN3018SSD</t>
  </si>
  <si>
    <t>DMN3018SSS</t>
  </si>
  <si>
    <t>DMN3020UFDF</t>
  </si>
  <si>
    <t>27 (@8V)</t>
  </si>
  <si>
    <t>DMN3020UFDFQ</t>
  </si>
  <si>
    <t>DMN3020UTS</t>
  </si>
  <si>
    <t>DMN3021LFDF</t>
  </si>
  <si>
    <t>DMN3022LDG</t>
  </si>
  <si>
    <t>22, 8 (@5V)</t>
  </si>
  <si>
    <t>2.1, 1.2</t>
  </si>
  <si>
    <t>2.8, 6.1</t>
  </si>
  <si>
    <t>370/766</t>
  </si>
  <si>
    <t>DMN3022LFG</t>
  </si>
  <si>
    <t>DMN3023L</t>
  </si>
  <si>
    <t>DMN3024LK3</t>
  </si>
  <si>
    <t>DMN3024LSD</t>
  </si>
  <si>
    <t>DMN3024LSS</t>
  </si>
  <si>
    <t>DMN3024SFG</t>
  </si>
  <si>
    <t>DMN3025LFDF</t>
  </si>
  <si>
    <t>DMN3025LFG</t>
  </si>
  <si>
    <t>DMN3025LFV</t>
  </si>
  <si>
    <t>DMN3025LSS</t>
  </si>
  <si>
    <t>DMN3026LVT</t>
  </si>
  <si>
    <t>DMN3026LVTQ</t>
  </si>
  <si>
    <t>DMN3027LFG</t>
  </si>
  <si>
    <t>DMN3028L</t>
  </si>
  <si>
    <t>DMN3028LQ</t>
  </si>
  <si>
    <t>DMN3029LFG</t>
  </si>
  <si>
    <t>DMN3030LSS</t>
  </si>
  <si>
    <t>DMN3032L</t>
  </si>
  <si>
    <t>DMN3032LE</t>
  </si>
  <si>
    <t>DMN3032LFDB</t>
  </si>
  <si>
    <t>DMN3032LFDBQ</t>
  </si>
  <si>
    <t>DMN3032LFDBWQ</t>
  </si>
  <si>
    <t>U-DFN2020-6 (SWP) (Type B)</t>
  </si>
  <si>
    <t>DMN3032LQ</t>
  </si>
  <si>
    <t>DMN3033LDM</t>
  </si>
  <si>
    <t>DMN3033LSD</t>
  </si>
  <si>
    <t>DMN3033LSDQ</t>
  </si>
  <si>
    <t>DMN3033LSN</t>
  </si>
  <si>
    <t>10.5 (@5V)</t>
  </si>
  <si>
    <t>DMN3033LSNQ</t>
  </si>
  <si>
    <t>DMN3035LWN</t>
  </si>
  <si>
    <t>V-DFN3020-8 (Type N)</t>
  </si>
  <si>
    <t>DMN3042L</t>
  </si>
  <si>
    <t>DMN3042LFDF</t>
  </si>
  <si>
    <t>DMN3051L</t>
  </si>
  <si>
    <t>DMN3051LDM</t>
  </si>
  <si>
    <t>DMN3053L</t>
  </si>
  <si>
    <t>DMN3055LFDB</t>
  </si>
  <si>
    <t>DMN3055LFDBQ</t>
  </si>
  <si>
    <t>DMN3060LCA3</t>
  </si>
  <si>
    <t>60 (@8V)</t>
  </si>
  <si>
    <t>X4-DSN1006-3</t>
  </si>
  <si>
    <t>DMN3060LVT</t>
  </si>
  <si>
    <t>3.6, 3.6</t>
  </si>
  <si>
    <t>5.6, 5.6</t>
  </si>
  <si>
    <t>11.3, 11.3</t>
  </si>
  <si>
    <t>395, 395</t>
  </si>
  <si>
    <t>DMN3060LW</t>
  </si>
  <si>
    <t>DMN3060LWQ</t>
  </si>
  <si>
    <t>DMN3061LCA3</t>
  </si>
  <si>
    <t>DMN3061S</t>
  </si>
  <si>
    <t>196 (@3.3V)</t>
  </si>
  <si>
    <t>DMN3061SQ</t>
  </si>
  <si>
    <t>DMN3061SVT</t>
  </si>
  <si>
    <t>3.4, 3.4</t>
  </si>
  <si>
    <t>6.6, 6.6</t>
  </si>
  <si>
    <t>278, 278</t>
  </si>
  <si>
    <t>DMN3061SVTQ</t>
  </si>
  <si>
    <t>DMN3061SW</t>
  </si>
  <si>
    <t>DMN3061SWQ</t>
  </si>
  <si>
    <t>DMN3065LW</t>
  </si>
  <si>
    <t>DMN3066L</t>
  </si>
  <si>
    <t>DMN3066LQ</t>
  </si>
  <si>
    <t>DMN3066LVT</t>
  </si>
  <si>
    <t>DMN3066LVTQ</t>
  </si>
  <si>
    <t>DMN3067LW</t>
  </si>
  <si>
    <t>DMN3069L</t>
  </si>
  <si>
    <t>DMN3070SSN</t>
  </si>
  <si>
    <t>DMN3071LFR4</t>
  </si>
  <si>
    <t>DMN3071LVT</t>
  </si>
  <si>
    <t>Dual 30V N-Channel Enhancement Mode MOSFET</t>
  </si>
  <si>
    <t>DMN30H4D0L</t>
  </si>
  <si>
    <t>DMN30H4D0LFDE</t>
  </si>
  <si>
    <t>DMN3110S</t>
  </si>
  <si>
    <t>DMN3112SQ</t>
  </si>
  <si>
    <t>DMN3135LVT</t>
  </si>
  <si>
    <t>DMN313DLT</t>
  </si>
  <si>
    <t>2000 (@4V)</t>
  </si>
  <si>
    <t>DMN3150L</t>
  </si>
  <si>
    <t>DMN3150LW</t>
  </si>
  <si>
    <t>DMN3190LDW</t>
  </si>
  <si>
    <t>DMN3190LDWQ</t>
  </si>
  <si>
    <t>DMN31D4UFZ</t>
  </si>
  <si>
    <t>DMN31D5L</t>
  </si>
  <si>
    <t>DMN31D5UDA</t>
  </si>
  <si>
    <t>DMN31D5UDAQ</t>
  </si>
  <si>
    <t>DUAL NCHANNEL ENHANCEMENT MODE MOSFET</t>
  </si>
  <si>
    <t>DMN31D5UDJ</t>
  </si>
  <si>
    <t>DMN31D5UDR4</t>
  </si>
  <si>
    <t>DMN31D5UDW</t>
  </si>
  <si>
    <t>DMN31D5UFA</t>
  </si>
  <si>
    <t>DMN31D5UFO</t>
  </si>
  <si>
    <t>DMN31D5UFZ</t>
  </si>
  <si>
    <t>DMN31D5UFZQ</t>
  </si>
  <si>
    <t>DMN31D6UT</t>
  </si>
  <si>
    <t>DMN3200U</t>
  </si>
  <si>
    <t>200 (@1.5V)</t>
  </si>
  <si>
    <t>DMN3270UVT</t>
  </si>
  <si>
    <t>5, 0.5</t>
  </si>
  <si>
    <t>DMN32D0LFB4</t>
  </si>
  <si>
    <t>DMN32D0LV</t>
  </si>
  <si>
    <t>DUAL N-CHANNEL ENHANCEMENT MODE FIELD EFFECT TRANSISTOR</t>
  </si>
  <si>
    <t>DMN32D0LVQ</t>
  </si>
  <si>
    <t>DMN32D2LDF</t>
  </si>
  <si>
    <t>COMMON SOURCE DUAL N-CHANNEL ENHANCEMENT MODE FIELD EFFECT TRANSISTOR</t>
  </si>
  <si>
    <t>SOT353</t>
  </si>
  <si>
    <t>DMN32D2LFB4</t>
  </si>
  <si>
    <t>DMN32D4SDW</t>
  </si>
  <si>
    <t>DMN32M6LCA8</t>
  </si>
  <si>
    <t>X4-DSN6025-8</t>
  </si>
  <si>
    <t>DMN3300U</t>
  </si>
  <si>
    <t>DMN3300UQ</t>
  </si>
  <si>
    <t>DMN3350LDW</t>
  </si>
  <si>
    <t>DMN3350LDWQ</t>
  </si>
  <si>
    <t>DMN3350LFB</t>
  </si>
  <si>
    <t>DMN33D8L</t>
  </si>
  <si>
    <t>3800 (@5V)</t>
  </si>
  <si>
    <t>DMN33D8LDW</t>
  </si>
  <si>
    <t>DMN33D8LDWQ</t>
  </si>
  <si>
    <t>DMN33D8LT</t>
  </si>
  <si>
    <t>5000 (@4V)</t>
  </si>
  <si>
    <t>DMN33D8LTQ</t>
  </si>
  <si>
    <t>DMN33D8LV</t>
  </si>
  <si>
    <t>DMN33D8LVQ</t>
  </si>
  <si>
    <t>DMN33D9LV</t>
  </si>
  <si>
    <t>DMN3401LDW</t>
  </si>
  <si>
    <t>DMN3401LDWQ</t>
  </si>
  <si>
    <t>DMN3401LV</t>
  </si>
  <si>
    <t>DMN3401LVQ</t>
  </si>
  <si>
    <t>DMN3404L</t>
  </si>
  <si>
    <t>DMN34D0U</t>
  </si>
  <si>
    <t>DMN3730UFB</t>
  </si>
  <si>
    <t>DMN3730UFB4</t>
  </si>
  <si>
    <t>DMN3731U</t>
  </si>
  <si>
    <t>DMN3731UFB4</t>
  </si>
  <si>
    <t>DMN3732U</t>
  </si>
  <si>
    <t>DMN3732UFB4</t>
  </si>
  <si>
    <t>DMN3732UFB4Q</t>
  </si>
  <si>
    <t>DMN3732UQ</t>
  </si>
  <si>
    <t>DMN3732UVT</t>
  </si>
  <si>
    <t>DMN3732UVTQ</t>
  </si>
  <si>
    <t>DMN38M1SCA10</t>
  </si>
  <si>
    <t>N-Channel Enhancement Mode Field MOSFET</t>
  </si>
  <si>
    <t>DMN3900UFA</t>
  </si>
  <si>
    <t>DMN39M1LFVW</t>
  </si>
  <si>
    <t>DMN39M1LFVWQ</t>
  </si>
  <si>
    <t>DMN39M1LK3</t>
  </si>
  <si>
    <t>DMN39M1LSS</t>
  </si>
  <si>
    <t>DMN39M1LSSQ</t>
  </si>
  <si>
    <t>DMN4008LFG</t>
  </si>
  <si>
    <t>40V N-CHANNEL ENHANCEMENT MODE MOSFET</t>
  </si>
  <si>
    <t>20 (@3.3V)</t>
  </si>
  <si>
    <t>DMN4010LFG</t>
  </si>
  <si>
    <t>DMN4010LK3</t>
  </si>
  <si>
    <t>DMN4020LFDE</t>
  </si>
  <si>
    <t>DMN4020LFDEQ</t>
  </si>
  <si>
    <t>DMN4026SK3</t>
  </si>
  <si>
    <t>DMN4026SSD</t>
  </si>
  <si>
    <t>40V DUAL N-CHANNEL ENHANCEMENT MODE MOSFET</t>
  </si>
  <si>
    <t>DMN4026SSDQ</t>
  </si>
  <si>
    <t>40V Dual N-Channel Enhancement Mode MOSFET</t>
  </si>
  <si>
    <t>DMN4027SSD</t>
  </si>
  <si>
    <t>DMN4030LK3</t>
  </si>
  <si>
    <t>DMN4030LK3Q</t>
  </si>
  <si>
    <t>DMN4031SSDQ</t>
  </si>
  <si>
    <t>DMN4034SSD</t>
  </si>
  <si>
    <t>DMN4034SSS</t>
  </si>
  <si>
    <t>DMN4034SSSQ</t>
  </si>
  <si>
    <t>DMN4035L</t>
  </si>
  <si>
    <t>DMN4035LQ</t>
  </si>
  <si>
    <t>DMN4036LK3</t>
  </si>
  <si>
    <t>DMN4060SVT</t>
  </si>
  <si>
    <t>DMN4060SVTQ</t>
  </si>
  <si>
    <t>45V N-CHANNEL ENHANCEMENT MODE MOSFET</t>
  </si>
  <si>
    <t>DMN4468LSS</t>
  </si>
  <si>
    <t>DMN4800LSS</t>
  </si>
  <si>
    <t>DMN4800LSSL</t>
  </si>
  <si>
    <t>DMN4800LSSQ</t>
  </si>
  <si>
    <t>DMN5040LSS</t>
  </si>
  <si>
    <t>DMN52D0LT</t>
  </si>
  <si>
    <t>0.35@5V</t>
  </si>
  <si>
    <t>2000@5V</t>
  </si>
  <si>
    <t>DMN52D0U</t>
  </si>
  <si>
    <t>50V N-Channel Enhancement Mode MOSFET</t>
  </si>
  <si>
    <t>0.4@5V</t>
  </si>
  <si>
    <t>DMN52D0UDM</t>
  </si>
  <si>
    <t>0.41 @ 5V</t>
  </si>
  <si>
    <t>2000 @ 5V</t>
  </si>
  <si>
    <t>DMN52D0UDMQ</t>
  </si>
  <si>
    <t>DMN52D0UDW</t>
  </si>
  <si>
    <t>0.35 (@ 5V)</t>
  </si>
  <si>
    <t>2000 (@ 5V)</t>
  </si>
  <si>
    <t>DMN52D0UDWQ</t>
  </si>
  <si>
    <t>DMN52D0UQ</t>
  </si>
  <si>
    <t>0.4 @5V</t>
  </si>
  <si>
    <t>DMN52D0UV</t>
  </si>
  <si>
    <t>0.48@5V</t>
  </si>
  <si>
    <t>DMN52D0UVA</t>
  </si>
  <si>
    <t xml:space="preserve">50V N-CHANNEL ENHANCEMENT MODE MOSFET
</t>
  </si>
  <si>
    <t>DMN52D0UVQ</t>
  </si>
  <si>
    <t>0.48 @ 5V</t>
  </si>
  <si>
    <t>DMN52D0UVT</t>
  </si>
  <si>
    <t>0.43 @ 5V</t>
  </si>
  <si>
    <t>DMN52D0UVTQ</t>
  </si>
  <si>
    <t>DMN52D0UW</t>
  </si>
  <si>
    <t>0.38 (@ 5V)</t>
  </si>
  <si>
    <t>DMN52D0UWQ</t>
  </si>
  <si>
    <t>DMN53D0L</t>
  </si>
  <si>
    <t>DMN53D0LDW</t>
  </si>
  <si>
    <t>DMN53D0LDWQ</t>
  </si>
  <si>
    <t>50V DUAL N-CHANNEL ENHANCEMENT MODE MOSFET</t>
  </si>
  <si>
    <t>DMN53D0LQ</t>
  </si>
  <si>
    <t>DMN53D0LT</t>
  </si>
  <si>
    <t>DMN53D0LTQ</t>
  </si>
  <si>
    <t>DMN53D0LV</t>
  </si>
  <si>
    <t>DMN53D0LW</t>
  </si>
  <si>
    <t>3000 (@5V)</t>
  </si>
  <si>
    <t>DMN53D0U</t>
  </si>
  <si>
    <t>2000 (@5V)</t>
  </si>
  <si>
    <t>DMN6010SCTB</t>
  </si>
  <si>
    <t>60V N-CHANNEL ENHANCEMENT MODE MOSFET</t>
  </si>
  <si>
    <t>TO263AB (D2PAK)</t>
  </si>
  <si>
    <t>DMN6010SCTBQ</t>
  </si>
  <si>
    <t>DMN6013LFG</t>
  </si>
  <si>
    <t>DMN6013LFGQ</t>
  </si>
  <si>
    <t>DMN6017SFV</t>
  </si>
  <si>
    <t>DMN6017SK3</t>
  </si>
  <si>
    <t>DMN601DMK</t>
  </si>
  <si>
    <t>4000 (@4V)</t>
  </si>
  <si>
    <t>DMN601DWK</t>
  </si>
  <si>
    <t>DMN601DWKQ</t>
  </si>
  <si>
    <t>DMN601K</t>
  </si>
  <si>
    <t>DMN601LT</t>
  </si>
  <si>
    <t>3000(@5V)</t>
  </si>
  <si>
    <t>DMN601LTQ</t>
  </si>
  <si>
    <t>60V N-Channel Enhancement Mode MOSFET</t>
  </si>
  <si>
    <t>3000 (@ 5V)</t>
  </si>
  <si>
    <t>DMN601TK</t>
  </si>
  <si>
    <t>50 max @ 50V</t>
  </si>
  <si>
    <t>DMN601TKQ</t>
  </si>
  <si>
    <t>DMN601VKQ</t>
  </si>
  <si>
    <t>DMN601WK</t>
  </si>
  <si>
    <t>DMN601WKQ</t>
  </si>
  <si>
    <t>DMN6022SSD</t>
  </si>
  <si>
    <t>DMN6022SSS</t>
  </si>
  <si>
    <t>DMN6040SE</t>
  </si>
  <si>
    <t>DMN6040SFDE</t>
  </si>
  <si>
    <t>1287 @ 25V</t>
  </si>
  <si>
    <t>DMN6040SFDEQ</t>
  </si>
  <si>
    <t>DMN6040SK3</t>
  </si>
  <si>
    <t>DMN6040SK3Q</t>
  </si>
  <si>
    <t>DMN6040SSD</t>
  </si>
  <si>
    <t>DMN6040SSDQ</t>
  </si>
  <si>
    <t>DMN6040SSS</t>
  </si>
  <si>
    <t>DMN6040SSSQ</t>
  </si>
  <si>
    <t>DMN6040SVT</t>
  </si>
  <si>
    <t>DMN6040SVTQ</t>
  </si>
  <si>
    <t>DMN6041SVT</t>
  </si>
  <si>
    <t>DMN6041SVTQ</t>
  </si>
  <si>
    <t>DMN6066SSD</t>
  </si>
  <si>
    <t>DMN6066SSDQ</t>
  </si>
  <si>
    <t>60V Dual N-Channel Enhancement Mode MOSFET</t>
  </si>
  <si>
    <t>DMN6066SSS</t>
  </si>
  <si>
    <t>DMN6068LK3</t>
  </si>
  <si>
    <t>DMN6068LK3Q</t>
  </si>
  <si>
    <t>DMN6068SE</t>
  </si>
  <si>
    <t>DMN6068SEQ</t>
  </si>
  <si>
    <t>DMN6069SE</t>
  </si>
  <si>
    <t>DMN6069SEQ</t>
  </si>
  <si>
    <t>DMN6069SFG</t>
  </si>
  <si>
    <t>DMN6069SFGQ</t>
  </si>
  <si>
    <t>DMN6069SFVW</t>
  </si>
  <si>
    <t>60V SINGLE N-CHANNEL ENHANCEMENT MODE MOSFET</t>
  </si>
  <si>
    <t>DMN6069SFVWQ</t>
  </si>
  <si>
    <t>DMN6070LCA6</t>
  </si>
  <si>
    <t>X2-TSN1510-6</t>
  </si>
  <si>
    <t>DMN6070SFCL</t>
  </si>
  <si>
    <t>606 @ 20V</t>
  </si>
  <si>
    <t>DMN6070SSD</t>
  </si>
  <si>
    <t>DMN6070SSDQ</t>
  </si>
  <si>
    <t>DMN6070SY</t>
  </si>
  <si>
    <t>SOT89</t>
  </si>
  <si>
    <t>DMN6075S</t>
  </si>
  <si>
    <t>DMN6075SQ</t>
  </si>
  <si>
    <t>DMN60H080DS</t>
  </si>
  <si>
    <t>DMN6140L</t>
  </si>
  <si>
    <t>4.1 (@5V)</t>
  </si>
  <si>
    <t>315 @ 40V</t>
  </si>
  <si>
    <t>DMN6140LQ</t>
  </si>
  <si>
    <t>DMN61D8L</t>
  </si>
  <si>
    <t>1800 (@5V)</t>
  </si>
  <si>
    <t>2400 (@3V)</t>
  </si>
  <si>
    <t>0.74 (@5V)</t>
  </si>
  <si>
    <t>DMN61D8LQ</t>
  </si>
  <si>
    <t>INTEGRATED RELAY AND INDUCTIVE LOAD DRIVER</t>
  </si>
  <si>
    <t>DMN61D8LVT</t>
  </si>
  <si>
    <t>DMN61D8LVTQ</t>
  </si>
  <si>
    <t>DMN61D9UDWQ</t>
  </si>
  <si>
    <t>DMN62D0LFB</t>
  </si>
  <si>
    <t>DMN62D0LFD</t>
  </si>
  <si>
    <t>DMN62D0SFD</t>
  </si>
  <si>
    <t>30.2 @ 25V</t>
  </si>
  <si>
    <t>DMN62D0U</t>
  </si>
  <si>
    <t>DMN62D0UDW</t>
  </si>
  <si>
    <t>DMN62D0UDWQ</t>
  </si>
  <si>
    <t>DMN62D0UT</t>
  </si>
  <si>
    <t>DMN62D0UV</t>
  </si>
  <si>
    <t>DMN62D1LFB</t>
  </si>
  <si>
    <t>DMN62D1LFD</t>
  </si>
  <si>
    <t>36 @ 25V</t>
  </si>
  <si>
    <t>DMN62D1LFDQ</t>
  </si>
  <si>
    <t>DMN62D1SFB</t>
  </si>
  <si>
    <t>40 @ 40V</t>
  </si>
  <si>
    <t>DMN62D1SFBW</t>
  </si>
  <si>
    <t>U-DFN1006-3/SWP (Type UX)</t>
  </si>
  <si>
    <t>DMN62D1SFBWQ</t>
  </si>
  <si>
    <t>DMN62D2U</t>
  </si>
  <si>
    <t>DMN62D2UDM</t>
  </si>
  <si>
    <t>DMN62D2UDMQ</t>
  </si>
  <si>
    <t>DMN62D2UDW</t>
  </si>
  <si>
    <t>DMN62D2UDWQ</t>
  </si>
  <si>
    <t>DMN62D2UQ</t>
  </si>
  <si>
    <t>DMN62D2UT</t>
  </si>
  <si>
    <t xml:space="preserve">60V N-Channel Enhancement Mode MOSFET
</t>
  </si>
  <si>
    <t>DMN62D2UTQ</t>
  </si>
  <si>
    <t>DMN62D2UV</t>
  </si>
  <si>
    <t>DMN62D2UVQ</t>
  </si>
  <si>
    <t>DMN62D2UVT</t>
  </si>
  <si>
    <t>DMN62D2UVTQ</t>
  </si>
  <si>
    <t>DMN62D2UW</t>
  </si>
  <si>
    <t>DMN62D2UWQ</t>
  </si>
  <si>
    <t>DMN62D4LDW</t>
  </si>
  <si>
    <t>DMN62D4LFB</t>
  </si>
  <si>
    <t>3000 @5V</t>
  </si>
  <si>
    <t>DMN62D4LFB4</t>
  </si>
  <si>
    <t>DMN63D1L</t>
  </si>
  <si>
    <t>DMN63D1LDW</t>
  </si>
  <si>
    <t>DMN63D1LT</t>
  </si>
  <si>
    <t>DMN63D1LV</t>
  </si>
  <si>
    <t>DMN63D1LVQ</t>
  </si>
  <si>
    <t>DMN63D1LW</t>
  </si>
  <si>
    <t>DMN63D8L</t>
  </si>
  <si>
    <t>DMN63D8LDW</t>
  </si>
  <si>
    <t>DMN63D8LV</t>
  </si>
  <si>
    <t>DMN63D8LW</t>
  </si>
  <si>
    <t>DMN65D7LFR4</t>
  </si>
  <si>
    <t>X2-DFN1010-4</t>
  </si>
  <si>
    <t>DMN65D8L</t>
  </si>
  <si>
    <t>4000 (@5V)</t>
  </si>
  <si>
    <t>DMN65D8LDW</t>
  </si>
  <si>
    <t>8000 (@5V)</t>
  </si>
  <si>
    <t>DMN65D8LDWQ</t>
  </si>
  <si>
    <t>DMN65D8LFB</t>
  </si>
  <si>
    <t>25 @ 25V</t>
  </si>
  <si>
    <t>DMN65D8LQ</t>
  </si>
  <si>
    <t>DMN65D8LT</t>
  </si>
  <si>
    <t>DMN65D8LW</t>
  </si>
  <si>
    <t>DMN65D9L</t>
  </si>
  <si>
    <t>4100 (@5V)</t>
  </si>
  <si>
    <t>DMN66D0LDW</t>
  </si>
  <si>
    <t>6000 (@5V)</t>
  </si>
  <si>
    <t>DMN66D0LDWQ</t>
  </si>
  <si>
    <t>DMN66D0LT</t>
  </si>
  <si>
    <t>DMN67D7L</t>
  </si>
  <si>
    <t>7500 (@5V)</t>
  </si>
  <si>
    <t>DMN67D8L</t>
  </si>
  <si>
    <t>DMN67D8LDW</t>
  </si>
  <si>
    <t>DMN67D8LT</t>
  </si>
  <si>
    <t>7500(5V)</t>
  </si>
  <si>
    <t>DMN67D8LW</t>
  </si>
  <si>
    <t>DMN68M7SCT</t>
  </si>
  <si>
    <t>TO220AB</t>
  </si>
  <si>
    <t>DMNH10H021SPSW</t>
  </si>
  <si>
    <t>100V 175°C N-CHANNEL ENHANCEMENT MODE MOSFET</t>
  </si>
  <si>
    <t>DMNH10H028SCT</t>
  </si>
  <si>
    <t>DMNH10H028SK3</t>
  </si>
  <si>
    <t>DMNH10H028SK3Q</t>
  </si>
  <si>
    <t>DMNH10H028SPS</t>
  </si>
  <si>
    <t>DMNH10H028SPSQ</t>
  </si>
  <si>
    <t>DMNH10H028SPSW</t>
  </si>
  <si>
    <t>100V 175°C N-Channel Enhancement Mode MOSFET</t>
  </si>
  <si>
    <t>22 (@VGS=6V)</t>
  </si>
  <si>
    <t>PowerDI5060-8 (SWP) (Type UX)</t>
  </si>
  <si>
    <t>DMNH10H028SPSWQ</t>
  </si>
  <si>
    <t xml:space="preserve"> 22 (@ 6V)</t>
  </si>
  <si>
    <t>DMNH3010LK3</t>
  </si>
  <si>
    <t>175°C N-CHANNEL ENHANCEMENT MODE MOSFET</t>
  </si>
  <si>
    <t>DMNH4004SPS</t>
  </si>
  <si>
    <t>40V N-CHANNEL 175°C MOSFET</t>
  </si>
  <si>
    <t>DMNH4005SCT</t>
  </si>
  <si>
    <t>DMNH4005SCTQ</t>
  </si>
  <si>
    <t>40V +175°C N-CHANNEL ENHANCEMENT MODE MOSFET</t>
  </si>
  <si>
    <t>DMNH4005SPS</t>
  </si>
  <si>
    <t>DMNH4005SPSQ</t>
  </si>
  <si>
    <t>DMNH4005SPSWQ</t>
  </si>
  <si>
    <t>40V N-Channel +175°C MOSFET</t>
  </si>
  <si>
    <t>DMNH4006SK3</t>
  </si>
  <si>
    <t>DMNH4006SK3Q</t>
  </si>
  <si>
    <t>DMNH4006SPS</t>
  </si>
  <si>
    <t>DMNH4006SPSQ</t>
  </si>
  <si>
    <t>DMNH4006SPSWQ</t>
  </si>
  <si>
    <t>DMNH4011SK3Q</t>
  </si>
  <si>
    <t>DMNH4011SPS</t>
  </si>
  <si>
    <t>DMNH4011SPSQ</t>
  </si>
  <si>
    <t>DMNH4011SPSWQ</t>
  </si>
  <si>
    <t>40V 175°C N-Channel Enhancement Mode MOSFET</t>
  </si>
  <si>
    <t>DMNH4015SSD</t>
  </si>
  <si>
    <t>DMNH4015SSDQ</t>
  </si>
  <si>
    <t>40V 175°C DUAL N-CHANNEL ENHANCEMENT MODE MOSFET</t>
  </si>
  <si>
    <t>DMNH4026SSD</t>
  </si>
  <si>
    <t>DMNH4026SSDQ</t>
  </si>
  <si>
    <t>DMNH45M7SCT</t>
  </si>
  <si>
    <t>TO220AB (Generic)</t>
  </si>
  <si>
    <t>DMNH6008SCT</t>
  </si>
  <si>
    <t>60V +175°C N-CHANNEL ENHANCEMENT MODE MOSFET</t>
  </si>
  <si>
    <t>DMNH6008SCTQ</t>
  </si>
  <si>
    <t>60V 175°C N-CHANNEL ENHANCEMENT MODE MOSFET</t>
  </si>
  <si>
    <t>DMNH6008SPS</t>
  </si>
  <si>
    <t>DMNH6008SPSQ</t>
  </si>
  <si>
    <t>DMNH6008SPSW</t>
  </si>
  <si>
    <t>60V 175°C N-Channel Enhancement Mode MOSFET</t>
  </si>
  <si>
    <t>DMNH6008SPSWQ</t>
  </si>
  <si>
    <t>60V +175°C N-Channel Enhancement Mode MOSFET</t>
  </si>
  <si>
    <t>DMNH6009SPS</t>
  </si>
  <si>
    <t>DMNH6009SPSW</t>
  </si>
  <si>
    <t>DMNH6010SCTB</t>
  </si>
  <si>
    <t>DMNH6010SCTBQ</t>
  </si>
  <si>
    <t>DMNH6011LK3</t>
  </si>
  <si>
    <t>DMNH6011LK3Q</t>
  </si>
  <si>
    <t>55V 175°C N-CHANNEL ENHANCEMENT MODE MOSFET</t>
  </si>
  <si>
    <t>DMNH6012LK3</t>
  </si>
  <si>
    <t>DMNH6012LK3Q</t>
  </si>
  <si>
    <t>DMNH6012SPS</t>
  </si>
  <si>
    <t>DMNH6012SPSQ</t>
  </si>
  <si>
    <t>DMNH6012SPSW</t>
  </si>
  <si>
    <t>DMNH6012SPSWQ</t>
  </si>
  <si>
    <t>DMNH6021SK3</t>
  </si>
  <si>
    <t>DMNH6021SK3Q</t>
  </si>
  <si>
    <t>DMNH6021SPD</t>
  </si>
  <si>
    <t>60V 175°C DUAL N-CHANNEL ENHANCEMENT MODE MOSFET</t>
  </si>
  <si>
    <t>DMNH6021SPDQ</t>
  </si>
  <si>
    <t>DMNH6021SPDW</t>
  </si>
  <si>
    <t>DMNH6021SPDWQ</t>
  </si>
  <si>
    <t>DMNH6021SPS</t>
  </si>
  <si>
    <t>DMNH6021SPSQ</t>
  </si>
  <si>
    <t>DMNH6021SPSW</t>
  </si>
  <si>
    <t>DMNH6021SPSWQ</t>
  </si>
  <si>
    <t>DMNH6022SSD</t>
  </si>
  <si>
    <t>DMNH6022SSDQ</t>
  </si>
  <si>
    <t>60V +175°C DUAL N-CHANNEL ENHANCEMENT MODE MOSFET</t>
  </si>
  <si>
    <t>DMNH6035SPDW</t>
  </si>
  <si>
    <t>DMNH6035SPDWQ</t>
  </si>
  <si>
    <t>60V 175°C Dual N-Channel Enhancement Mode MOSFET</t>
  </si>
  <si>
    <t>DMNH6042SK3</t>
  </si>
  <si>
    <t>DMNH6042SK3Q</t>
  </si>
  <si>
    <t>DMNH6042SPD</t>
  </si>
  <si>
    <t>DMNH6042SPDQ</t>
  </si>
  <si>
    <t>DMNH6042SPS</t>
  </si>
  <si>
    <t>DMNH6042SPSQ</t>
  </si>
  <si>
    <t>DMNH6042SPSW</t>
  </si>
  <si>
    <t>DMNH6042SPSWQ</t>
  </si>
  <si>
    <t>DMNH6042SSD</t>
  </si>
  <si>
    <t>DMNH6042SSDQ</t>
  </si>
  <si>
    <t>60V DUAL N-CHANNEL 175°C MOSFET</t>
  </si>
  <si>
    <t>DMNH6065SPDW</t>
  </si>
  <si>
    <t>DMNH6065SPDWQ</t>
  </si>
  <si>
    <t>DMNH6065SSD</t>
  </si>
  <si>
    <t>DMNH6065SSDQ</t>
  </si>
  <si>
    <t>DMNH6069SFVW</t>
  </si>
  <si>
    <t>60V 175°C N-CHANNEL ENHANCEMENT MODE MOSFET PowerDI3333-8</t>
  </si>
  <si>
    <t>DMNH6069SFVWQ</t>
  </si>
  <si>
    <t>DMP1005UFDF</t>
  </si>
  <si>
    <t>DMP1007UCB9</t>
  </si>
  <si>
    <t>U-WLB1515-9</t>
  </si>
  <si>
    <t>DMP1008UCA9</t>
  </si>
  <si>
    <t>X2-DSN1515-9</t>
  </si>
  <si>
    <t>DMP1008UCB9</t>
  </si>
  <si>
    <t>DMP1009UFDF</t>
  </si>
  <si>
    <t>12V P-CHANNEL ENHANCEMENT MODE MOSFET</t>
  </si>
  <si>
    <t>DMP1009UFDFQ</t>
  </si>
  <si>
    <t>DMP1010UCA4</t>
  </si>
  <si>
    <t>P-Channel Enhancement Mode MOSFET</t>
  </si>
  <si>
    <t>X2-DSN1212-4</t>
  </si>
  <si>
    <t>DMP1011LFV</t>
  </si>
  <si>
    <t>DMP1011LFVQ</t>
  </si>
  <si>
    <t>DMP1011UCB9</t>
  </si>
  <si>
    <t>U-WLB1515-9 (Type B)</t>
  </si>
  <si>
    <t>DMP1012UFDF</t>
  </si>
  <si>
    <t>DMP1012USS</t>
  </si>
  <si>
    <t>DMP1012USSQ</t>
  </si>
  <si>
    <t>12V P-Channel Enhancement Mode MOSFET</t>
  </si>
  <si>
    <t>31 (@ 8V)</t>
  </si>
  <si>
    <t>DMP1022UFDEQ</t>
  </si>
  <si>
    <t>DMP1022UFDF</t>
  </si>
  <si>
    <t>DMP1022UWS</t>
  </si>
  <si>
    <t>V-DFN3020-8</t>
  </si>
  <si>
    <t>DMP1045U</t>
  </si>
  <si>
    <t>DMP1045UCB4</t>
  </si>
  <si>
    <t>X2-WLB0808-4</t>
  </si>
  <si>
    <t>DMP1045UFY4</t>
  </si>
  <si>
    <t>DMP1045UQ</t>
  </si>
  <si>
    <t>DMP1046UFDB</t>
  </si>
  <si>
    <t>17.9 (@8V)</t>
  </si>
  <si>
    <t>DMP1055UFDB</t>
  </si>
  <si>
    <t>20.8 (@8V)</t>
  </si>
  <si>
    <t>DMP1055USW</t>
  </si>
  <si>
    <t>DMP1070U</t>
  </si>
  <si>
    <t>DMP1070UCA3</t>
  </si>
  <si>
    <t>X4-DSN0607-3</t>
  </si>
  <si>
    <t>DMP1070UFY4</t>
  </si>
  <si>
    <t>DMP1070UFY4Q</t>
  </si>
  <si>
    <t>DMP1070UQ</t>
  </si>
  <si>
    <t>DMP10H088SPS</t>
  </si>
  <si>
    <t>100V P-CHANNEL ENHANCEMENT MODE MOSFET</t>
  </si>
  <si>
    <t>DMP10H400SE</t>
  </si>
  <si>
    <t>1239 max @ 25V</t>
  </si>
  <si>
    <t>DMP10H400SEQ</t>
  </si>
  <si>
    <t>DMP10H400SK3</t>
  </si>
  <si>
    <t>DMP10H4D2S</t>
  </si>
  <si>
    <t>5000 (@ 4V)</t>
  </si>
  <si>
    <t>DMP10H4D2SQ</t>
  </si>
  <si>
    <t>5000 (@ 2V)</t>
  </si>
  <si>
    <t>DMP1100UCB4</t>
  </si>
  <si>
    <t>DMP1200UFR4</t>
  </si>
  <si>
    <t>DMP1245UFCL</t>
  </si>
  <si>
    <t>DMP1555UFA</t>
  </si>
  <si>
    <t>DMP2002UPS</t>
  </si>
  <si>
    <t>PowerDI5060-8 (Type K)</t>
  </si>
  <si>
    <t>DMP2003UPS</t>
  </si>
  <si>
    <t>DMP2004DMK</t>
  </si>
  <si>
    <t>DMP2004DWK</t>
  </si>
  <si>
    <t>DMP2004K</t>
  </si>
  <si>
    <t>DMP2004TK</t>
  </si>
  <si>
    <t>0.97 (@8V)</t>
  </si>
  <si>
    <t>DMP2004UFG</t>
  </si>
  <si>
    <t>DMP2004VK</t>
  </si>
  <si>
    <t>DMP2004WK</t>
  </si>
  <si>
    <t>DMP2005UFG</t>
  </si>
  <si>
    <t>DMP2006UFGQ</t>
  </si>
  <si>
    <t>DMP2007UFG</t>
  </si>
  <si>
    <t>DMP2008UFG</t>
  </si>
  <si>
    <t>DMP2008USS</t>
  </si>
  <si>
    <t>DMP2010UFG</t>
  </si>
  <si>
    <t>DMP2010UFV</t>
  </si>
  <si>
    <t>DMP2012SN</t>
  </si>
  <si>
    <t>DMP2012UFDE</t>
  </si>
  <si>
    <t>20V P-Channel Enhancement Mode MOSFET</t>
  </si>
  <si>
    <t>DMP2016UFDF</t>
  </si>
  <si>
    <t>30(@8V)</t>
  </si>
  <si>
    <t>DMP2018LFK</t>
  </si>
  <si>
    <t>U-DFN2523-6</t>
  </si>
  <si>
    <t>DMP2021UFDE</t>
  </si>
  <si>
    <t>59 (@8V)</t>
  </si>
  <si>
    <t>DMP2021UFDF</t>
  </si>
  <si>
    <t>DMP2021UTS</t>
  </si>
  <si>
    <t>DMP2021UTSQ</t>
  </si>
  <si>
    <t>DMP2022LSS</t>
  </si>
  <si>
    <t>DMP2022LSSQ</t>
  </si>
  <si>
    <t>DMP2023UFDF</t>
  </si>
  <si>
    <t>DMP2033UVT</t>
  </si>
  <si>
    <t>DMP2035U</t>
  </si>
  <si>
    <t>DMP2035UFCL</t>
  </si>
  <si>
    <t>29 (@8V)</t>
  </si>
  <si>
    <t>U-DFN1616-6 (Type K)</t>
  </si>
  <si>
    <t>DMP2035UFDF</t>
  </si>
  <si>
    <t>DMP2035UTS</t>
  </si>
  <si>
    <t>DMP2035UVT</t>
  </si>
  <si>
    <t>DMP2035UVTQ</t>
  </si>
  <si>
    <t>DMP2036UVT</t>
  </si>
  <si>
    <t>DMP2036UVTQ</t>
  </si>
  <si>
    <t>DMP2037U</t>
  </si>
  <si>
    <t>DMP2037UFCL</t>
  </si>
  <si>
    <t>DMP2039UFDE</t>
  </si>
  <si>
    <t>48.7 (@8V)</t>
  </si>
  <si>
    <t>DMP2039UFDE4</t>
  </si>
  <si>
    <t>X2-DFN2020-6</t>
  </si>
  <si>
    <t>DMP2040UFDF</t>
  </si>
  <si>
    <t>19 (@8V)</t>
  </si>
  <si>
    <t>DMP2040UND</t>
  </si>
  <si>
    <t>DMP2040USD</t>
  </si>
  <si>
    <t>20V DUAL P-CHANNEL ENHANCEMENT MODE MOSFET</t>
  </si>
  <si>
    <t>DMP2040USS</t>
  </si>
  <si>
    <t>DMP2040UVT</t>
  </si>
  <si>
    <t>DMP2040UVTQ</t>
  </si>
  <si>
    <t>DMP2042UCP4</t>
  </si>
  <si>
    <t>X1-DSN1010-4 (Type C)</t>
  </si>
  <si>
    <t>DMP2043UCA3</t>
  </si>
  <si>
    <t>X2-DSN1010-3</t>
  </si>
  <si>
    <t>DMP2045U</t>
  </si>
  <si>
    <t>DMP2045UFDB</t>
  </si>
  <si>
    <t>DUAL  P-CHANNEL ENHANCEMENT MODE MOSFET</t>
  </si>
  <si>
    <t>DMP2045UFY4</t>
  </si>
  <si>
    <t>DMP2045UQ</t>
  </si>
  <si>
    <t>DMP2047UCB4</t>
  </si>
  <si>
    <t>U-WLB1010-4</t>
  </si>
  <si>
    <t>DMP2056UCA4</t>
  </si>
  <si>
    <t>8.4 (@ 8V)</t>
  </si>
  <si>
    <t>X4-DSN0808-4</t>
  </si>
  <si>
    <t>DMP2065U</t>
  </si>
  <si>
    <t>DMP2065UFDB</t>
  </si>
  <si>
    <t>DMP2065UQ</t>
  </si>
  <si>
    <t>DMP2066LSN</t>
  </si>
  <si>
    <t>DMP2066LVT</t>
  </si>
  <si>
    <t>DMP2066UFDE</t>
  </si>
  <si>
    <t>DMP2067LSS</t>
  </si>
  <si>
    <t>15.5 (@8V)</t>
  </si>
  <si>
    <t>DMP2067LVT</t>
  </si>
  <si>
    <t>28 @ 8V</t>
  </si>
  <si>
    <t>DMP2067LVTQ</t>
  </si>
  <si>
    <t>DMP2068UFY4</t>
  </si>
  <si>
    <t>DMP2068UFY4Q</t>
  </si>
  <si>
    <t>DMP2069UFY4</t>
  </si>
  <si>
    <t>DMP2069UFY4Q</t>
  </si>
  <si>
    <t>DMP2070U</t>
  </si>
  <si>
    <t>17.8 (@8V)</t>
  </si>
  <si>
    <t>DMP2070UFY4</t>
  </si>
  <si>
    <t>DMP2070UFY4Q</t>
  </si>
  <si>
    <t>DMP2070UQ</t>
  </si>
  <si>
    <t>DMP2075UFDB</t>
  </si>
  <si>
    <t>DMP2075UVT</t>
  </si>
  <si>
    <t>DMP2077UCA3</t>
  </si>
  <si>
    <t>DMP2078LCA3</t>
  </si>
  <si>
    <t>DMP2079LCA3</t>
  </si>
  <si>
    <t>DMP2090UFDB</t>
  </si>
  <si>
    <t>DMP2100UFU</t>
  </si>
  <si>
    <t>DMP2101UCP9</t>
  </si>
  <si>
    <t>X2-DSN1515-9 (Type B)</t>
  </si>
  <si>
    <t>DMP2104LP</t>
  </si>
  <si>
    <t>X1-DFN1411-3</t>
  </si>
  <si>
    <t>DMP2104V</t>
  </si>
  <si>
    <t>DMP2109UVT</t>
  </si>
  <si>
    <t>DMP2109UVTQ</t>
  </si>
  <si>
    <t>DMP2110U</t>
  </si>
  <si>
    <t>DMP2110UFDB</t>
  </si>
  <si>
    <t>DMP2110UFDBQ</t>
  </si>
  <si>
    <t>DMP2110UQ</t>
  </si>
  <si>
    <t>DMP2110UVT</t>
  </si>
  <si>
    <t>DMP2110UVTQ</t>
  </si>
  <si>
    <t>DMP2110UW</t>
  </si>
  <si>
    <t>DMP2120U</t>
  </si>
  <si>
    <t>DMP2123L</t>
  </si>
  <si>
    <t>DMP2123LQ</t>
  </si>
  <si>
    <t>DMP2130L</t>
  </si>
  <si>
    <t>DMP2130LDM</t>
  </si>
  <si>
    <t>DMP213DUFA</t>
  </si>
  <si>
    <t>DMP2160UWQ</t>
  </si>
  <si>
    <t>DMP2165UW</t>
  </si>
  <si>
    <t>DMP2170U</t>
  </si>
  <si>
    <t>DMP21D0UFB</t>
  </si>
  <si>
    <t>DMP21D0UFB4</t>
  </si>
  <si>
    <t>DMP21D0UFD</t>
  </si>
  <si>
    <t>DMP21D0UT</t>
  </si>
  <si>
    <t>DMP21D1UT</t>
  </si>
  <si>
    <t>DMP21D1UTQ</t>
  </si>
  <si>
    <t>DMP21D2UFA</t>
  </si>
  <si>
    <t>DMP21D5UFB4</t>
  </si>
  <si>
    <t>DMP21D6UFB4</t>
  </si>
  <si>
    <t>0.8 (@8V)</t>
  </si>
  <si>
    <t>DMP21D6UFD</t>
  </si>
  <si>
    <t>DMP2200UDW</t>
  </si>
  <si>
    <t>DMP2200UFCL</t>
  </si>
  <si>
    <t>U-DFN1616-6 (Type F)</t>
  </si>
  <si>
    <t>DMP2240UDM</t>
  </si>
  <si>
    <t>DMP2240UW</t>
  </si>
  <si>
    <t>DMP2240UWQ</t>
  </si>
  <si>
    <t>DMP22D3UFZ</t>
  </si>
  <si>
    <t>DMP22D4UDA</t>
  </si>
  <si>
    <t>DMP22D4UFA</t>
  </si>
  <si>
    <t>DMP22D4UFO</t>
  </si>
  <si>
    <t>DMP22D5UDA</t>
  </si>
  <si>
    <t>DUAL PCHANNEL ENHANCEMENT MODE MOSFET</t>
  </si>
  <si>
    <t>DMP22D5UDJ</t>
  </si>
  <si>
    <t>DMP22D5UDR4</t>
  </si>
  <si>
    <t>Dual P-Channel Enhancement Mode MOSFET</t>
  </si>
  <si>
    <t>DMP22D5UFA</t>
  </si>
  <si>
    <t>DMP22D5UFB4</t>
  </si>
  <si>
    <t>DMP22D5UFB4Q</t>
  </si>
  <si>
    <t>DMP22D5UFO</t>
  </si>
  <si>
    <t>DMP22D5UFZ</t>
  </si>
  <si>
    <t>DMP22D6UFB4</t>
  </si>
  <si>
    <t>DMP22D6UFB4Q</t>
  </si>
  <si>
    <t>DMP22D6UT</t>
  </si>
  <si>
    <t>DMP22M1UPSW</t>
  </si>
  <si>
    <t>PowerDI5060-8 (SWP) (Type Q)</t>
  </si>
  <si>
    <t>DMP22M2UPS</t>
  </si>
  <si>
    <t>DMP2305U</t>
  </si>
  <si>
    <t>DMP2305UVT</t>
  </si>
  <si>
    <t>DMP2541UCP9</t>
  </si>
  <si>
    <t xml:space="preserve">P-CHANNEL ENHANCEMENT MODE MOSFET </t>
  </si>
  <si>
    <t>DMP25H18DLFDE</t>
  </si>
  <si>
    <t>18000 (@3.5V)</t>
  </si>
  <si>
    <t>DMP26M1UFG</t>
  </si>
  <si>
    <t>20V P-CHANNEL ENHANCEMENT MODE MOSFET PowerDI3333-8</t>
  </si>
  <si>
    <t>DMP26M1UPS</t>
  </si>
  <si>
    <t>DMP26M1UPSW</t>
  </si>
  <si>
    <t>DMP26M1UPSWQ</t>
  </si>
  <si>
    <t>DMP26M7UFG</t>
  </si>
  <si>
    <t>DMP27M1UPSW</t>
  </si>
  <si>
    <t>20V P-CHANNEL ENHANCEMENT MODE MOSFET
PowerDI5060-8</t>
  </si>
  <si>
    <t>DMP27M1UPSWQ</t>
  </si>
  <si>
    <t>DMP2900UDW</t>
  </si>
  <si>
    <t>DMP2900UDWQ</t>
  </si>
  <si>
    <t>DMP2900UFB</t>
  </si>
  <si>
    <t>DMP2900UFBQ</t>
  </si>
  <si>
    <t>DMP2900UT</t>
  </si>
  <si>
    <t>DMP2900UTQ</t>
  </si>
  <si>
    <t>DMP2900UV</t>
  </si>
  <si>
    <t>DMP2900UVQ</t>
  </si>
  <si>
    <t>DMP2900UW</t>
  </si>
  <si>
    <t>DMP2900UWQ</t>
  </si>
  <si>
    <t>DMP3004SSS</t>
  </si>
  <si>
    <t>DMP3006LPSW</t>
  </si>
  <si>
    <t>DMP3006LPSWQ</t>
  </si>
  <si>
    <t>DMP3007LK3</t>
  </si>
  <si>
    <t>DMP3007LK3Q</t>
  </si>
  <si>
    <t>DMP3007LSS</t>
  </si>
  <si>
    <t>DMP3007SCG</t>
  </si>
  <si>
    <t>V-DFN3333-8 (Type B)</t>
  </si>
  <si>
    <t>DMP3007SCGQ</t>
  </si>
  <si>
    <t>DMP3007SFG</t>
  </si>
  <si>
    <t>DMP3007SPS</t>
  </si>
  <si>
    <t>DMP3007SPSQ</t>
  </si>
  <si>
    <t>DMP3008SFGQ</t>
  </si>
  <si>
    <t>DMP3011SFK</t>
  </si>
  <si>
    <t>25 (@ 5V)</t>
  </si>
  <si>
    <t>DMP3011SFVW</t>
  </si>
  <si>
    <t>25 (@5V)</t>
  </si>
  <si>
    <t>DMP3011SFVWQ</t>
  </si>
  <si>
    <t>DMP3011SPDW</t>
  </si>
  <si>
    <t>DUAL P-CHANNEL ENHANCEMENT MODE MOSFET
PowerDI5060-8</t>
  </si>
  <si>
    <t>25(@5v)</t>
  </si>
  <si>
    <t>DMP3011SPSW</t>
  </si>
  <si>
    <t>30V P-CHANNEL ENHANCEMENT MODE MOSFET
PowerDI5060-8</t>
  </si>
  <si>
    <t>DMP3011SSS</t>
  </si>
  <si>
    <t>DMP3012LPS</t>
  </si>
  <si>
    <t>DMP3012SPSW</t>
  </si>
  <si>
    <t>30V P-Channel Enhancement Mode MOSFET</t>
  </si>
  <si>
    <t>DMP3013SFK</t>
  </si>
  <si>
    <t>16.2 (@5V)</t>
  </si>
  <si>
    <t>DMP3013SFV</t>
  </si>
  <si>
    <t>DMP3014SFDE</t>
  </si>
  <si>
    <t>DMP3017SFK</t>
  </si>
  <si>
    <t>DMP3018SFK</t>
  </si>
  <si>
    <t>DMP3018SFV</t>
  </si>
  <si>
    <t>28 (@5V)</t>
  </si>
  <si>
    <t>DMP3018SSS</t>
  </si>
  <si>
    <t>DMP3020LSS</t>
  </si>
  <si>
    <t>DMP3021SFVW</t>
  </si>
  <si>
    <t>30V P-CHANNEL ENHANCEMENT MODE MOSFET PowerDI3333-8</t>
  </si>
  <si>
    <t>17.4 (@5V)</t>
  </si>
  <si>
    <t>DMP3021SFVWQ</t>
  </si>
  <si>
    <t>DMP3021SPDW</t>
  </si>
  <si>
    <t>28(@5V)</t>
  </si>
  <si>
    <t>17.4(@5V)</t>
  </si>
  <si>
    <t>DMP3021SPSW</t>
  </si>
  <si>
    <t>25(@5V)</t>
  </si>
  <si>
    <t>DMP3021SSS</t>
  </si>
  <si>
    <t>DMP3025SFDF</t>
  </si>
  <si>
    <t>30 (@ 5V)</t>
  </si>
  <si>
    <t>DMP3026SFDE</t>
  </si>
  <si>
    <t>DMP3026SFDF</t>
  </si>
  <si>
    <t>DMP3027LFDE</t>
  </si>
  <si>
    <t>DMP3027LFDEQ</t>
  </si>
  <si>
    <t>DMP3028LFDE</t>
  </si>
  <si>
    <t>DMP3028LFDEQ</t>
  </si>
  <si>
    <t>DMP3028LK3</t>
  </si>
  <si>
    <t>DMP3028LK3Q</t>
  </si>
  <si>
    <t>DMP3028LPSQ</t>
  </si>
  <si>
    <t>DMP3028LPSW</t>
  </si>
  <si>
    <t>DMP3028LSD</t>
  </si>
  <si>
    <t>DMP3028LSDQ</t>
  </si>
  <si>
    <t>30V Dual P-Channel Enhancement Mode MOSFET</t>
  </si>
  <si>
    <t>DMP3030SN</t>
  </si>
  <si>
    <t>P-CHANNEL ENHANCEMENT MODE FIELD EFFECT TRANSISTOR</t>
  </si>
  <si>
    <t>DMP3035LSS</t>
  </si>
  <si>
    <t>DMP3036SFG</t>
  </si>
  <si>
    <t>29 (@5V)</t>
  </si>
  <si>
    <t>8.8 (@5V)</t>
  </si>
  <si>
    <t>DMP3036SFV</t>
  </si>
  <si>
    <t>DMP3036SFVQ</t>
  </si>
  <si>
    <t>DMP3036SSD</t>
  </si>
  <si>
    <t>DMP3036SSS</t>
  </si>
  <si>
    <t>DMP3037LSS</t>
  </si>
  <si>
    <t>DMP3037LSSQ</t>
  </si>
  <si>
    <t>DMP3045LFVW</t>
  </si>
  <si>
    <t>DMP3045LFVWQ</t>
  </si>
  <si>
    <t>DMP3045LVT</t>
  </si>
  <si>
    <t>DMP3045LVTQ</t>
  </si>
  <si>
    <t>DMP3048LSD</t>
  </si>
  <si>
    <t>DMP3050LSS</t>
  </si>
  <si>
    <t>DMP3050LVT</t>
  </si>
  <si>
    <t>DMP3050LVTQ</t>
  </si>
  <si>
    <t>DMP3056L</t>
  </si>
  <si>
    <t>DMP3056LDM</t>
  </si>
  <si>
    <t>DMP3056LSD</t>
  </si>
  <si>
    <t>DUAL P-CHANNEL ENHANCEMENT MODE FIELD EFFECT TRANSISTOR</t>
  </si>
  <si>
    <t>DMP3056LSDQ</t>
  </si>
  <si>
    <t>DMP3056LSS</t>
  </si>
  <si>
    <t>DMP3056LSSQ</t>
  </si>
  <si>
    <t>SINGLE P-CHANNEL ENHANCEMENT MODE FIELD EFFECT TRANSISTOR</t>
  </si>
  <si>
    <t>DMP3065LVT</t>
  </si>
  <si>
    <t>DMP3068L</t>
  </si>
  <si>
    <t>DMP3068LVT</t>
  </si>
  <si>
    <t>DMP3085LSD</t>
  </si>
  <si>
    <t>DMP3085LSS</t>
  </si>
  <si>
    <t>DMP3096L</t>
  </si>
  <si>
    <t>DMP3096LQ</t>
  </si>
  <si>
    <t>DMP3097L</t>
  </si>
  <si>
    <t>DMP3097LQ</t>
  </si>
  <si>
    <t>DMP3098L</t>
  </si>
  <si>
    <t>DMP3098LDM</t>
  </si>
  <si>
    <t>DMP3098LQ</t>
  </si>
  <si>
    <t>DMP3098LSD</t>
  </si>
  <si>
    <t>DMP3098LSS</t>
  </si>
  <si>
    <t>DMP3099L</t>
  </si>
  <si>
    <t>DMP3099LQ</t>
  </si>
  <si>
    <t>DMP3105LVT</t>
  </si>
  <si>
    <t>DMP3125L</t>
  </si>
  <si>
    <t>DMP3130LQ</t>
  </si>
  <si>
    <t>DMP3160L</t>
  </si>
  <si>
    <t>DMP3164LVT</t>
  </si>
  <si>
    <t>DMP3165L</t>
  </si>
  <si>
    <t>DMP3165LQ</t>
  </si>
  <si>
    <t>DMP3165SVTQ</t>
  </si>
  <si>
    <t>DMP31D0U</t>
  </si>
  <si>
    <t>1.5 (@8V)</t>
  </si>
  <si>
    <t>DMP31D0UFB4</t>
  </si>
  <si>
    <t>DMP31D1U</t>
  </si>
  <si>
    <t>DMP31D1UDW</t>
  </si>
  <si>
    <t>DMP31D1UDWQ</t>
  </si>
  <si>
    <t>DMP31D1UFB4</t>
  </si>
  <si>
    <t>DMP31D1UFB4Q</t>
  </si>
  <si>
    <t>DMP31D1UQ</t>
  </si>
  <si>
    <t>DMP31D1UVT</t>
  </si>
  <si>
    <t>DMP31D1UVTQ</t>
  </si>
  <si>
    <t>DMP31D1UW</t>
  </si>
  <si>
    <t>DMP31D1UWQ</t>
  </si>
  <si>
    <t>DMP31D7L</t>
  </si>
  <si>
    <t>DMP31D7LDW</t>
  </si>
  <si>
    <t>DMP31D7LDWQ</t>
  </si>
  <si>
    <t>DMP31D7LFB</t>
  </si>
  <si>
    <t>DMP31D7LFBQ</t>
  </si>
  <si>
    <t>DMP31D7LQ</t>
  </si>
  <si>
    <t>DMP31D7LT</t>
  </si>
  <si>
    <t>DMP31D7LTQ</t>
  </si>
  <si>
    <t>DMP31D7LV</t>
  </si>
  <si>
    <t>DMP31D7LVQ</t>
  </si>
  <si>
    <t>DMP31D7LW</t>
  </si>
  <si>
    <t>DMP31D7LWQ</t>
  </si>
  <si>
    <t>DMP32D4S</t>
  </si>
  <si>
    <t>DMP32D4SFB</t>
  </si>
  <si>
    <t>DMP32D4SW</t>
  </si>
  <si>
    <t>DMP32D5LFA</t>
  </si>
  <si>
    <t>DMP32D5SFB</t>
  </si>
  <si>
    <t>DMP32D8UFZ</t>
  </si>
  <si>
    <t>DMP32D9UDA</t>
  </si>
  <si>
    <t>30V DUAL P-CHANNEL ENHANCEMENT MODE MOSFET</t>
  </si>
  <si>
    <t>DMP32D9UDAQ</t>
  </si>
  <si>
    <t>PCHANNEL ENHANCEMENT MODE MOSFET</t>
  </si>
  <si>
    <t>DMP32D9UFA</t>
  </si>
  <si>
    <t>DMP32D9UFO</t>
  </si>
  <si>
    <t>DMP32D9UFZ</t>
  </si>
  <si>
    <t>DMP32M6SPS</t>
  </si>
  <si>
    <t>DMP34M4SPS</t>
  </si>
  <si>
    <t>6 (@5V)</t>
  </si>
  <si>
    <t>PowerDI5060-8, PowerDI5060-8 (SWP) (Type UX)</t>
  </si>
  <si>
    <t>DMP4006SPSW</t>
  </si>
  <si>
    <t>40V P-CHANNEL ENHANCEMENT MODE MOSFET</t>
  </si>
  <si>
    <t>7.9 (@6V)</t>
  </si>
  <si>
    <t>DMP4006SPSWQ</t>
  </si>
  <si>
    <t>DMP4009SPSW</t>
  </si>
  <si>
    <t>40V P-Channel Enhancement Mode MOSFET</t>
  </si>
  <si>
    <t>DMP4009SPSWQ</t>
  </si>
  <si>
    <t xml:space="preserve">1.0 </t>
  </si>
  <si>
    <t>DMP4009SSS</t>
  </si>
  <si>
    <t>DMP4009SSSQ</t>
  </si>
  <si>
    <t>DMP4010SK3</t>
  </si>
  <si>
    <t>DMP4010SK3Q</t>
  </si>
  <si>
    <t>DMP4011SK3</t>
  </si>
  <si>
    <t>DMP4011SK3Q</t>
  </si>
  <si>
    <t>DMP4011SPS</t>
  </si>
  <si>
    <t>DMP4011SPSQ</t>
  </si>
  <si>
    <t>DMP4011SPSW</t>
  </si>
  <si>
    <t>DMP4011SPSWQ</t>
  </si>
  <si>
    <t>DMP4013LFG</t>
  </si>
  <si>
    <t>DMP4013LFGQ</t>
  </si>
  <si>
    <t>DMP4013SPS</t>
  </si>
  <si>
    <t>DMP4013SPSQ</t>
  </si>
  <si>
    <t>DMP4013SPSW</t>
  </si>
  <si>
    <t>DMP4013SPSWQ</t>
  </si>
  <si>
    <t>DMP4015SK3</t>
  </si>
  <si>
    <t>47.5 (@5V)</t>
  </si>
  <si>
    <t>DMP4015SK3Q</t>
  </si>
  <si>
    <t>DMP4015SPS</t>
  </si>
  <si>
    <t>DMP4015SPSQ</t>
  </si>
  <si>
    <t>DMP4015SPSW</t>
  </si>
  <si>
    <t>47.5 @ 5V</t>
  </si>
  <si>
    <t>DMP4015SPSWQ</t>
  </si>
  <si>
    <t>DMP4015SSS</t>
  </si>
  <si>
    <t>DMP4015SSSQ</t>
  </si>
  <si>
    <t>DMP4016SK3</t>
  </si>
  <si>
    <t>DMP4016SK3Q</t>
  </si>
  <si>
    <t>DMP4016SPSW</t>
  </si>
  <si>
    <t>DMP4016SPSWQ</t>
  </si>
  <si>
    <t>DMP4016SSS</t>
  </si>
  <si>
    <t>DMP4016SSSQ</t>
  </si>
  <si>
    <t>DMP4025LK3Q</t>
  </si>
  <si>
    <t>DMP4025LSS</t>
  </si>
  <si>
    <t>DMP4025LSSQ</t>
  </si>
  <si>
    <t>DMP4026LK3</t>
  </si>
  <si>
    <t>DMP4026LK3Q</t>
  </si>
  <si>
    <t>DMP4026LSD</t>
  </si>
  <si>
    <t>40V Dual P-Channel Enhancement Mode MOSFET</t>
  </si>
  <si>
    <t>DMP4026LSDQ</t>
  </si>
  <si>
    <t>DMP4026LSS</t>
  </si>
  <si>
    <t>DMP4026LSSQ</t>
  </si>
  <si>
    <t>DMP4026SFG</t>
  </si>
  <si>
    <t>DMP4026SFGQ</t>
  </si>
  <si>
    <t>DMP4026SFVW</t>
  </si>
  <si>
    <t>DMP4026SFVWQ</t>
  </si>
  <si>
    <t>DMP4047LFDE</t>
  </si>
  <si>
    <t>DMP4047LFDEQ</t>
  </si>
  <si>
    <t>DMP4047SK3</t>
  </si>
  <si>
    <t>DMP4047SSD</t>
  </si>
  <si>
    <t>40V DUAL P-CHANNEL ENHANCEMENT MODE MOSFET</t>
  </si>
  <si>
    <t>DMP4047SSDQ</t>
  </si>
  <si>
    <t>DMP4050SSD</t>
  </si>
  <si>
    <t>DMP4050SSDQ</t>
  </si>
  <si>
    <t>DMP4050SSS</t>
  </si>
  <si>
    <t>DMP4051LK3</t>
  </si>
  <si>
    <t>DMP4065S</t>
  </si>
  <si>
    <t>DMP4065SK3</t>
  </si>
  <si>
    <t>TO252 (Standard)</t>
  </si>
  <si>
    <t>DMP4065SQ</t>
  </si>
  <si>
    <t>DMP45H150DHE</t>
  </si>
  <si>
    <t>450V P-CHANNEL ENHANCEMENT MODE MOSFET</t>
  </si>
  <si>
    <t>DMP45H21DHE</t>
  </si>
  <si>
    <t>DMP45H4D9HJ3</t>
  </si>
  <si>
    <t>TO251 (Type TH)</t>
  </si>
  <si>
    <t>DMP45H4D9HK3</t>
  </si>
  <si>
    <t>DMP510DL</t>
  </si>
  <si>
    <t>DMP510DLQ</t>
  </si>
  <si>
    <t>9500_-5V</t>
  </si>
  <si>
    <t>0.5_-5V</t>
  </si>
  <si>
    <t>DMP510DLW</t>
  </si>
  <si>
    <t>50V P-CHANNEL ENHANCEMENT MODE MOSFET</t>
  </si>
  <si>
    <t>DMP56D0UFB</t>
  </si>
  <si>
    <t>6000 (@4V)</t>
  </si>
  <si>
    <t>DMP56D0UV</t>
  </si>
  <si>
    <t>DMP58D1LV</t>
  </si>
  <si>
    <t>0.22@5V</t>
  </si>
  <si>
    <t>8000@5V</t>
  </si>
  <si>
    <t xml:space="preserve">2.0 </t>
  </si>
  <si>
    <t>0.6@5V</t>
  </si>
  <si>
    <t>DMP58D1LVQ</t>
  </si>
  <si>
    <t>0.22 (@ 5V)</t>
  </si>
  <si>
    <t>8000 (@ 5V)</t>
  </si>
  <si>
    <t>0.6 (@ 5V)</t>
  </si>
  <si>
    <t>DMP6018LPS</t>
  </si>
  <si>
    <t>60V P-CHANNEL ENHANCEMENT MODE MOSFET</t>
  </si>
  <si>
    <t>DMP6018LPSQ</t>
  </si>
  <si>
    <t>DMP6023LE</t>
  </si>
  <si>
    <t>DMP6023LEQ</t>
  </si>
  <si>
    <t>DMP6023LFG</t>
  </si>
  <si>
    <t>DMP6023LFGQ</t>
  </si>
  <si>
    <t>DMP6023LSS</t>
  </si>
  <si>
    <t>DMP6050SFG</t>
  </si>
  <si>
    <t>DMP6050SPS</t>
  </si>
  <si>
    <t>DMP6050SPSW</t>
  </si>
  <si>
    <t>60V P-Channel Enhancement Mode MOSFET</t>
  </si>
  <si>
    <t>DMP6050SSD</t>
  </si>
  <si>
    <t>DMP6051SFVW</t>
  </si>
  <si>
    <t>DMP6051SFVWQ</t>
  </si>
  <si>
    <t>DMP6051SSD</t>
  </si>
  <si>
    <t>60V +175°C Dual P-Channel Enhancement Mode MOSFET</t>
  </si>
  <si>
    <t>DMP6051SSDQ</t>
  </si>
  <si>
    <t>60V Dual P-Channel Enhancement Mode MOSFET</t>
  </si>
  <si>
    <t>DMP6051SSS</t>
  </si>
  <si>
    <t>DMP6051SSSQ</t>
  </si>
  <si>
    <t>DMP610DL</t>
  </si>
  <si>
    <t>DMP610DLQ</t>
  </si>
  <si>
    <t>10,000 (@5V)</t>
  </si>
  <si>
    <t>DMP6110SFDF</t>
  </si>
  <si>
    <t>175°C 60V P-CHANNEL ENHANCEMENT MODE MOSFET</t>
  </si>
  <si>
    <t>DMP6110SFDFQ</t>
  </si>
  <si>
    <t>DMP6110SSD</t>
  </si>
  <si>
    <t>DMP6110SSDQ</t>
  </si>
  <si>
    <t>DMP6110SSS</t>
  </si>
  <si>
    <t>DMP6110SSSQ</t>
  </si>
  <si>
    <t>DMP6110SVT</t>
  </si>
  <si>
    <t>DMP6110SVTQ</t>
  </si>
  <si>
    <t>DMP6111SVT</t>
  </si>
  <si>
    <t>DMP6111SVTQ</t>
  </si>
  <si>
    <t>DMP6180SK3</t>
  </si>
  <si>
    <t>DMP6180SK3Q</t>
  </si>
  <si>
    <t>DMP6185SE</t>
  </si>
  <si>
    <t>DMP6185SEQ</t>
  </si>
  <si>
    <t>DMP6185SK3</t>
  </si>
  <si>
    <t>DMP6250SE</t>
  </si>
  <si>
    <t>DMP6250SEQ</t>
  </si>
  <si>
    <t>DMP6250SFDF</t>
  </si>
  <si>
    <t>612 @ 20V</t>
  </si>
  <si>
    <t>DMP6350S</t>
  </si>
  <si>
    <t>DMP6350SQ</t>
  </si>
  <si>
    <t>DMP65H11D0HSS</t>
  </si>
  <si>
    <t>600V P-CHANNEL ENHANCEMENT MODE MOSFET</t>
  </si>
  <si>
    <t>SO-8 (Standard B)</t>
  </si>
  <si>
    <t>DMP65H13D0HSS</t>
  </si>
  <si>
    <t>DMP65H20D0HSS</t>
  </si>
  <si>
    <t>DMP65H9D0HSS</t>
  </si>
  <si>
    <t>DMP68D0LFB</t>
  </si>
  <si>
    <t>65V P-CHANNEL ENHANCEMENT MODE MOSFET</t>
  </si>
  <si>
    <t>DMP68D1L</t>
  </si>
  <si>
    <t>DMP68D1LFB</t>
  </si>
  <si>
    <t>0.6 (@5V)</t>
  </si>
  <si>
    <t>DMP68D1LQ</t>
  </si>
  <si>
    <t>DMP68D1LV</t>
  </si>
  <si>
    <t>DMP68D1LVQ</t>
  </si>
  <si>
    <t>DMPH1006UPS</t>
  </si>
  <si>
    <t>12V 175°C P-CHANNEL ENHANCEMENT MODE MOSFET</t>
  </si>
  <si>
    <t>124 (@8V)</t>
  </si>
  <si>
    <t>DMPH1006UPSQ</t>
  </si>
  <si>
    <t>DMPH16M1UPSW</t>
  </si>
  <si>
    <t>12V 175°C P-CHANNEL ENHANCEMENT MODE MOSFET
PowerDI5060-8</t>
  </si>
  <si>
    <t>DMPH2040UVTQ</t>
  </si>
  <si>
    <t>20V 175°C P-CHANNEL ENHANCEMENT MODE MOSFET</t>
  </si>
  <si>
    <t>DMPH3010LK3</t>
  </si>
  <si>
    <t>175°C P-CHANNEL ENHANCEMENT MODE MOSFET</t>
  </si>
  <si>
    <t>DMPH3010LK3Q</t>
  </si>
  <si>
    <t>DMPH3010LPS</t>
  </si>
  <si>
    <t>DMPH3010LPSQ</t>
  </si>
  <si>
    <t>DMPH33M8SPSW</t>
  </si>
  <si>
    <t>DMPH33M8SPSWQ</t>
  </si>
  <si>
    <t>DMPH4009SPSW</t>
  </si>
  <si>
    <t>40V +175°C P-Channel Enhancement Mode MOSFET</t>
  </si>
  <si>
    <t>DMPH4009SPSWQ</t>
  </si>
  <si>
    <t>DMPH4009SSS</t>
  </si>
  <si>
    <t>DMPH4009SSSQ</t>
  </si>
  <si>
    <t>40V 175°C P-Channel Enhancement Mode MOSFET</t>
  </si>
  <si>
    <t>DMPH4011SK3</t>
  </si>
  <si>
    <t>175°C 40V P-CHANNEL ENHANCEMENT MODE MOSFET</t>
  </si>
  <si>
    <t>DMPH4011SK3Q</t>
  </si>
  <si>
    <t>DMPH4013SK3</t>
  </si>
  <si>
    <t>DMPH4013SK3Q</t>
  </si>
  <si>
    <t>DMPH4013SPSQ</t>
  </si>
  <si>
    <t>175°C 40V P-CHANNEL ENHANCEMENT MODE MOSFET PowerDI5060-8</t>
  </si>
  <si>
    <t>DMPH4013SPSW</t>
  </si>
  <si>
    <t>DMPH4013SPSWQ</t>
  </si>
  <si>
    <t>175°C 40V P-Channel Enhancement Mode MOSFET</t>
  </si>
  <si>
    <t>DMPH4015SK3Q</t>
  </si>
  <si>
    <t>DMPH4015SPSQ</t>
  </si>
  <si>
    <t>DMPH4015SPSWQ</t>
  </si>
  <si>
    <t>+175°C P-Channel Enhancement Mode MOSFET</t>
  </si>
  <si>
    <t>DMPH4015SSSQ</t>
  </si>
  <si>
    <t>DMPH4016SK3</t>
  </si>
  <si>
    <t>+175°C 40V P-Channel Enhancement Mode MOSFET</t>
  </si>
  <si>
    <t>DMPH4016SK3Q</t>
  </si>
  <si>
    <t>DMPH4016SPSW</t>
  </si>
  <si>
    <t>DMPH4016SPSWQ</t>
  </si>
  <si>
    <t>DMPH4016SSS</t>
  </si>
  <si>
    <t>DMPH4016SSSQ</t>
  </si>
  <si>
    <t>DMPH4023SK3</t>
  </si>
  <si>
    <t>40V 175°C P-CHANNEL ENHANCEMENT MODE MOSFET</t>
  </si>
  <si>
    <t>DMPH4023SK3Q</t>
  </si>
  <si>
    <t>DMPH4023SPDWQ</t>
  </si>
  <si>
    <t>40V +175°C Dual P-Channel Enhancement Mode MOSFET</t>
  </si>
  <si>
    <t>DMPH4025SFVWQ</t>
  </si>
  <si>
    <t>DMPH4026SFVW</t>
  </si>
  <si>
    <t>DMPH4026SFVWQ</t>
  </si>
  <si>
    <t>DMPH4029LFG</t>
  </si>
  <si>
    <t>DMPH4029LFGQ</t>
  </si>
  <si>
    <t>DMPH6023SK3</t>
  </si>
  <si>
    <t>DMPH6023SK3Q</t>
  </si>
  <si>
    <t>60V 175°C P-CHANNEL ENHANCEMENT MODE MOSFET</t>
  </si>
  <si>
    <t>DMPH6050SFGQ</t>
  </si>
  <si>
    <t>60V P-CHANNEL +175°C MOSFET</t>
  </si>
  <si>
    <t>DMPH6050SK3</t>
  </si>
  <si>
    <t>DMPH6050SK3Q</t>
  </si>
  <si>
    <t>DMPH6050SPD</t>
  </si>
  <si>
    <t>175°C 60V DUAL P-CHANNEL ENHANCEMENT MODE MOSFET</t>
  </si>
  <si>
    <t>DMPH6050SPDQ</t>
  </si>
  <si>
    <t>60V 175°C DUAL P-CHANNEL ENHANCEMENT MODE MOSFET</t>
  </si>
  <si>
    <t>DMPH6050SPDW</t>
  </si>
  <si>
    <t>175°C 60V Dual P-Channel Enhancement Mode MOSFET</t>
  </si>
  <si>
    <t>DMPH6050SPDWQ</t>
  </si>
  <si>
    <t>DMPH6050SSD</t>
  </si>
  <si>
    <t>DMPH6050SSDQ</t>
  </si>
  <si>
    <t>DMPH6051SFVW</t>
  </si>
  <si>
    <t>60V 175°C P-Channel Enhancement Mode MOSFET</t>
  </si>
  <si>
    <t>DMPH6051SFVWQ</t>
  </si>
  <si>
    <t>60V +175°C P-Channel Enhancement Mode MOSFET</t>
  </si>
  <si>
    <t>DMPH6051SSD</t>
  </si>
  <si>
    <t>DMPH6051SSDQ</t>
  </si>
  <si>
    <t>DMPH6051SSS</t>
  </si>
  <si>
    <t>DMPH6051SSSQ</t>
  </si>
  <si>
    <t>DMPH6250S</t>
  </si>
  <si>
    <t>DMPH6250SQ</t>
  </si>
  <si>
    <t>DMS2085LSD</t>
  </si>
  <si>
    <t>P-CHANNEL ENHANCEMENT MODE MOSFET WITH INTEGRATED SCHOTTKY DIODE</t>
  </si>
  <si>
    <t>P+SKY</t>
  </si>
  <si>
    <t>DMS2095LFDB</t>
  </si>
  <si>
    <t>DMS2120LFWB</t>
  </si>
  <si>
    <t>P-CHANNEL ENHANCEMENT MODE MOSFET WITH INTEGRATED SBR</t>
  </si>
  <si>
    <t>W-DFN3020-8 (Type B)</t>
  </si>
  <si>
    <t>DMS2220LFDB</t>
  </si>
  <si>
    <t>DMS3014SFGQ</t>
  </si>
  <si>
    <t>DMT10H003SPSW</t>
  </si>
  <si>
    <t>DMT10H009LCG</t>
  </si>
  <si>
    <t>DMT10H009LFG</t>
  </si>
  <si>
    <t>DMT10H009LH3</t>
  </si>
  <si>
    <t>TO251</t>
  </si>
  <si>
    <t>DMT10H009LK3</t>
  </si>
  <si>
    <t>DMT10H009LPS</t>
  </si>
  <si>
    <t>DMT10H009LSS</t>
  </si>
  <si>
    <t>DMT10H009LSSQ</t>
  </si>
  <si>
    <t>100V N-Channel Enhancement Mode MOSFET</t>
  </si>
  <si>
    <t>DMT10H009SCG</t>
  </si>
  <si>
    <t>DMT10H009SK3</t>
  </si>
  <si>
    <t>DMT10H009SPS</t>
  </si>
  <si>
    <t>DMT10H009SSS</t>
  </si>
  <si>
    <t>DMT10H010LCT</t>
  </si>
  <si>
    <t>DMT10H010LK3</t>
  </si>
  <si>
    <t>DMT10H010LPS</t>
  </si>
  <si>
    <t>DMT10H010LSS</t>
  </si>
  <si>
    <t>DMT10H010LSSQ</t>
  </si>
  <si>
    <t>DMT10H010SPS</t>
  </si>
  <si>
    <t>11.5 (@ 6V)</t>
  </si>
  <si>
    <t>DMT10H014LSS</t>
  </si>
  <si>
    <t>DMT10H015LCG</t>
  </si>
  <si>
    <t>DMT10H015LFG</t>
  </si>
  <si>
    <t>DMT10H015LK3</t>
  </si>
  <si>
    <t>DMT10H015LPS</t>
  </si>
  <si>
    <t>DMT10H015LSS</t>
  </si>
  <si>
    <t>DMT10H015SK3</t>
  </si>
  <si>
    <t>20 (@6V)</t>
  </si>
  <si>
    <t>DMT10H015SPS</t>
  </si>
  <si>
    <t>DMT10H017LPD</t>
  </si>
  <si>
    <t>PowerDI5060-8 (Type E)</t>
  </si>
  <si>
    <t>DMT10H025LK3</t>
  </si>
  <si>
    <t>DMT10H025LSS</t>
  </si>
  <si>
    <t>DMT10H025SK3</t>
  </si>
  <si>
    <t>DMT10H025SSS</t>
  </si>
  <si>
    <t>30 (@6V)</t>
  </si>
  <si>
    <t>DMT10H032LDV</t>
  </si>
  <si>
    <t>DMT10H032LDVW</t>
  </si>
  <si>
    <t>100V Dual N-Channel Enhancement Mode MOSFET</t>
  </si>
  <si>
    <t>DMT10H032LDVWQ</t>
  </si>
  <si>
    <t>DMT10H032LFDF</t>
  </si>
  <si>
    <t>DMT10H032LFVW</t>
  </si>
  <si>
    <t>DMT10H032LK3</t>
  </si>
  <si>
    <t>DMT10H032LSS</t>
  </si>
  <si>
    <t>DMT10H032SDVW</t>
  </si>
  <si>
    <t>DMT10H032SDVWQ</t>
  </si>
  <si>
    <t>DMT10H032SFVW</t>
  </si>
  <si>
    <t>DMT10H052LFDF</t>
  </si>
  <si>
    <t>DMT10H072LDV</t>
  </si>
  <si>
    <t>Dual 100V N-Channel Enhancement Mode MOSFET</t>
  </si>
  <si>
    <t>DMT10H072LFDF</t>
  </si>
  <si>
    <t>DMT10H072LFDFQ</t>
  </si>
  <si>
    <t>DMT10H072LFV</t>
  </si>
  <si>
    <t>DMT10H075LE</t>
  </si>
  <si>
    <t>DMT10H4M5LPS</t>
  </si>
  <si>
    <t>DMT10H9M9LCT</t>
  </si>
  <si>
    <t>DMT10H9M9SCT</t>
  </si>
  <si>
    <t>DMT10H9M9SH3</t>
  </si>
  <si>
    <t>DMT12H007LPS</t>
  </si>
  <si>
    <t>120V N-CHANNEL ENHANCEMENT MODE MOSFET</t>
  </si>
  <si>
    <t>DMT12H007SPS</t>
  </si>
  <si>
    <t>DMT12H060LCA9</t>
  </si>
  <si>
    <t>115V N-CHANNEL ENHANCEMENT MODE MOSFET</t>
  </si>
  <si>
    <t>X4-DSN1515-9</t>
  </si>
  <si>
    <t>DMT12H060LFDF</t>
  </si>
  <si>
    <t>DMT12H065LFDF</t>
  </si>
  <si>
    <t>DMT12H090LFDF4</t>
  </si>
  <si>
    <t>X2-DFN2020-6 (Type W)</t>
  </si>
  <si>
    <t>DMT15H017LPS</t>
  </si>
  <si>
    <t>DMT15H017LPSW</t>
  </si>
  <si>
    <t>150V N-CHANNEL ENHANCEMENT MODE MOSFET PowerDI5060-8</t>
  </si>
  <si>
    <t>DMT15H017SK3</t>
  </si>
  <si>
    <t>DMT15H035SCT</t>
  </si>
  <si>
    <t>DMT15H053SK3</t>
  </si>
  <si>
    <t>DMT15H053SPSW</t>
  </si>
  <si>
    <t>150V N-Channel Enhancement Mode MOSFET</t>
  </si>
  <si>
    <t>DMT15H053SPSWQ</t>
  </si>
  <si>
    <t>DMT15H053SSS</t>
  </si>
  <si>
    <t>DMT15H067SSS</t>
  </si>
  <si>
    <t>DMT2004UFDF</t>
  </si>
  <si>
    <t>DMT2004UFG</t>
  </si>
  <si>
    <t>DMT2004UFV</t>
  </si>
  <si>
    <t>DMT2004UPS</t>
  </si>
  <si>
    <t>DMT2005UDV</t>
  </si>
  <si>
    <t>DUAL 24V N-CHANNEL ENHANCEMENT MODE MOSFET</t>
  </si>
  <si>
    <t>DMT26M0LDG</t>
  </si>
  <si>
    <t>Asymmetric Dual N-Channel MOSFET</t>
  </si>
  <si>
    <t>11.6, 20.1</t>
  </si>
  <si>
    <t>6, 2</t>
  </si>
  <si>
    <t>7.5, 3.1</t>
  </si>
  <si>
    <t>0.8, 1.1</t>
  </si>
  <si>
    <t>7.2, 26.7</t>
  </si>
  <si>
    <t>15.9, 57.4</t>
  </si>
  <si>
    <t>1010, 4016</t>
  </si>
  <si>
    <t>PowerDI3333-8 (Type F)</t>
  </si>
  <si>
    <t>DMT3002LPS</t>
  </si>
  <si>
    <t>DMT3003LFG</t>
  </si>
  <si>
    <t>DMT3003LFGQ</t>
  </si>
  <si>
    <t>DMT3004LFG</t>
  </si>
  <si>
    <t>20, 16</t>
  </si>
  <si>
    <t>DMT3004LPS</t>
  </si>
  <si>
    <t>DMT3006LDK</t>
  </si>
  <si>
    <t>V-DFN3030-8 (Type Q)</t>
  </si>
  <si>
    <t>DMT3006LDV</t>
  </si>
  <si>
    <t>DMT3006LFDF</t>
  </si>
  <si>
    <t>DMT3006LFDFQ</t>
  </si>
  <si>
    <t>DMT3006LFG</t>
  </si>
  <si>
    <t>DMT3006LFV</t>
  </si>
  <si>
    <t>DMT3006LFVQ</t>
  </si>
  <si>
    <t>DMT3006LPB</t>
  </si>
  <si>
    <t>DUAL 30V N-CHANNEL ENHANCEMENT MODE MOSFET</t>
  </si>
  <si>
    <t>11, 14</t>
  </si>
  <si>
    <t>35, 50</t>
  </si>
  <si>
    <t>11.1, 6</t>
  </si>
  <si>
    <t>14, 10</t>
  </si>
  <si>
    <t>6.3, 8.4</t>
  </si>
  <si>
    <t>12.6, 16.7</t>
  </si>
  <si>
    <t>841, 1155</t>
  </si>
  <si>
    <t>PowerDI5060-8 (Type S)</t>
  </si>
  <si>
    <t>DMT3006LPS</t>
  </si>
  <si>
    <t>DMT3008LFDF</t>
  </si>
  <si>
    <t>DMT3009LDT</t>
  </si>
  <si>
    <t>V-DFN3030-8 (Type K)</t>
  </si>
  <si>
    <t>DMT3009LDV</t>
  </si>
  <si>
    <t>25 (@ 3.8V)</t>
  </si>
  <si>
    <t>DMT3009LEV</t>
  </si>
  <si>
    <t>PowerDI3333-8 (Type UXD)</t>
  </si>
  <si>
    <t>DMT3009LFVW</t>
  </si>
  <si>
    <t>DMT3009LFVWQ</t>
  </si>
  <si>
    <t>DMT3009UDT</t>
  </si>
  <si>
    <t>V-DFN3030-8 (Type KS)</t>
  </si>
  <si>
    <t>DMT3009UFVW</t>
  </si>
  <si>
    <t>DMT3011LDT</t>
  </si>
  <si>
    <t>20, 20/16</t>
  </si>
  <si>
    <t>8, 10.7</t>
  </si>
  <si>
    <t>21.5, 28.9</t>
  </si>
  <si>
    <t>20, 11.1</t>
  </si>
  <si>
    <t>32, 13.8</t>
  </si>
  <si>
    <t>6, 6.4</t>
  </si>
  <si>
    <t>13.2, 13.8</t>
  </si>
  <si>
    <t>641, 748</t>
  </si>
  <si>
    <t>DMT3020LDT</t>
  </si>
  <si>
    <t>DMT3020LDV</t>
  </si>
  <si>
    <t>DMT3020LFCL</t>
  </si>
  <si>
    <t>DMT3020LFDB</t>
  </si>
  <si>
    <t>DMT3020LFDBQ</t>
  </si>
  <si>
    <t>DMT3020LFDF</t>
  </si>
  <si>
    <t>DMT3020LFDFQ</t>
  </si>
  <si>
    <t>DMT3020LFDFW</t>
  </si>
  <si>
    <t>U-DFN2020-6/SWP (Type UXG)</t>
  </si>
  <si>
    <t>DMT3020LFDFWQ</t>
  </si>
  <si>
    <t>DMT3020LFVW</t>
  </si>
  <si>
    <t>DMT3020LSD</t>
  </si>
  <si>
    <t>DMT3020LSDQ</t>
  </si>
  <si>
    <t>DMT3020UFDB</t>
  </si>
  <si>
    <t>DMT3022UEV</t>
  </si>
  <si>
    <t>DMT30M9LPS</t>
  </si>
  <si>
    <t>DMT31M1LPSW</t>
  </si>
  <si>
    <t>DMT31M1LPSWQ</t>
  </si>
  <si>
    <t>DMT31M6LPS</t>
  </si>
  <si>
    <t>DMT31M7LPS</t>
  </si>
  <si>
    <t>DMT31M7LSS</t>
  </si>
  <si>
    <t>DMT31M8LFVW</t>
  </si>
  <si>
    <t>DMT31M8LFVWQ</t>
  </si>
  <si>
    <t>DMT31M9LFVW</t>
  </si>
  <si>
    <t>DMT32M4LFG</t>
  </si>
  <si>
    <t>DMT32M4LPSW</t>
  </si>
  <si>
    <t>DMT32M5LFG</t>
  </si>
  <si>
    <t>DMT32M5LPS</t>
  </si>
  <si>
    <t>DMT32M5LPSW</t>
  </si>
  <si>
    <t>DMT32M6LDG</t>
  </si>
  <si>
    <t>Symmetric Dual N-Channel MOSFET</t>
  </si>
  <si>
    <t>16,12</t>
  </si>
  <si>
    <t xml:space="preserve">2.5, 2.9 </t>
  </si>
  <si>
    <t>3.2, 3.6</t>
  </si>
  <si>
    <t>15.6, 15.1</t>
  </si>
  <si>
    <t>31.7, 32</t>
  </si>
  <si>
    <t>2101, 2106</t>
  </si>
  <si>
    <t>PowerDI3333-8 (Type G)</t>
  </si>
  <si>
    <t>DMT34M1LPS</t>
  </si>
  <si>
    <t>DMT34M8LFDE</t>
  </si>
  <si>
    <t>DMT35M4LFDF</t>
  </si>
  <si>
    <t>DMT35M4LFDF4</t>
  </si>
  <si>
    <t>DMT35M4LFVW</t>
  </si>
  <si>
    <t>DMT35M4LPSW</t>
  </si>
  <si>
    <t>DMT35M7LFV</t>
  </si>
  <si>
    <t>DMT35M8LDG</t>
  </si>
  <si>
    <t>17, 15.3</t>
  </si>
  <si>
    <t>4.7, 5.8</t>
  </si>
  <si>
    <t>5.7, 7.3</t>
  </si>
  <si>
    <t>14.5, 7.5</t>
  </si>
  <si>
    <t>22.7, 16.3</t>
  </si>
  <si>
    <t>1510, 1032</t>
  </si>
  <si>
    <t>DMT36M1LPS</t>
  </si>
  <si>
    <t>DMT3M70LPSW</t>
  </si>
  <si>
    <t>DMT3M70LPSWQ</t>
  </si>
  <si>
    <t>DMT4002LPS</t>
  </si>
  <si>
    <t>DMT4003SCT</t>
  </si>
  <si>
    <t>DMT4004LPS</t>
  </si>
  <si>
    <t>DMT4005SCT</t>
  </si>
  <si>
    <t>TO220-3</t>
  </si>
  <si>
    <t>DMT4008LFDF</t>
  </si>
  <si>
    <t>DMT4008LFV</t>
  </si>
  <si>
    <t>DMT4008LSS</t>
  </si>
  <si>
    <t>DMT4011LFG</t>
  </si>
  <si>
    <t>DMT4011LSS</t>
  </si>
  <si>
    <t>DMT4014LDV</t>
  </si>
  <si>
    <t>DMT4015LDV</t>
  </si>
  <si>
    <t>DMT4031LFDF</t>
  </si>
  <si>
    <t>DMT4031LSD</t>
  </si>
  <si>
    <t>DMT43M8LFV</t>
  </si>
  <si>
    <t>DMT47M2LDV</t>
  </si>
  <si>
    <t>DUAL 40V N-CHANNEL ENHANCEMENT MODE MOSFET</t>
  </si>
  <si>
    <t>DMT47M2LDVQ</t>
  </si>
  <si>
    <t>DMT47M2SFVW</t>
  </si>
  <si>
    <t>40V 175°C N-CHANNEL ENHANCEMENT MODE MOSFET</t>
  </si>
  <si>
    <t>DMT47M2SFVWQ</t>
  </si>
  <si>
    <t>DMT5012LFVW</t>
  </si>
  <si>
    <t>DMT6002LPS</t>
  </si>
  <si>
    <t>3 (@6V)</t>
  </si>
  <si>
    <t>DMT6004LPS</t>
  </si>
  <si>
    <t>DMT6004SCT</t>
  </si>
  <si>
    <t>DMT6004SPS</t>
  </si>
  <si>
    <t>DMT6005LCT</t>
  </si>
  <si>
    <t>DMT6005LFG</t>
  </si>
  <si>
    <t>DMT6005LPS</t>
  </si>
  <si>
    <t>DMT6005LSS</t>
  </si>
  <si>
    <t>DMT6006LK3</t>
  </si>
  <si>
    <t>DMT6006LSS</t>
  </si>
  <si>
    <t>DMT6006SPS</t>
  </si>
  <si>
    <t>DMT6007LFG</t>
  </si>
  <si>
    <t>DMT6007LFGQ</t>
  </si>
  <si>
    <t>DMT6008LFG</t>
  </si>
  <si>
    <t>DMT6009LCT</t>
  </si>
  <si>
    <t>DMT6009LFG</t>
  </si>
  <si>
    <t>DMT6009LK3</t>
  </si>
  <si>
    <t>DMT6009LPS</t>
  </si>
  <si>
    <t>DMT6009LSS</t>
  </si>
  <si>
    <t>DMT6010LFG</t>
  </si>
  <si>
    <t>DMT6010LPS</t>
  </si>
  <si>
    <t>DMT6010LSS</t>
  </si>
  <si>
    <t>DMT6010SCT</t>
  </si>
  <si>
    <t>DMT6011LPDW</t>
  </si>
  <si>
    <t>DMT6011LSS</t>
  </si>
  <si>
    <t>DMT6012LFDF</t>
  </si>
  <si>
    <t>DMT6012LFV</t>
  </si>
  <si>
    <t>DMT6012LPSW</t>
  </si>
  <si>
    <t>DMT6012LSS</t>
  </si>
  <si>
    <t>DMT6013LFDF</t>
  </si>
  <si>
    <t>DMT6013LSS</t>
  </si>
  <si>
    <t>DMT6015LFV</t>
  </si>
  <si>
    <t>DMT6015LFVW</t>
  </si>
  <si>
    <t>DMT6015LPDW</t>
  </si>
  <si>
    <t>DMT6015LPS</t>
  </si>
  <si>
    <t>DMT6015LSS</t>
  </si>
  <si>
    <t>N CHANNEL ENHANCEMENT MODE MOSFET</t>
  </si>
  <si>
    <t>DMT6016LFDF</t>
  </si>
  <si>
    <t>DMT6016LPS</t>
  </si>
  <si>
    <t>DMT6016LPSW</t>
  </si>
  <si>
    <t>DMT6016LSS</t>
  </si>
  <si>
    <t>DMT6017LDV</t>
  </si>
  <si>
    <t>65V N-CHANNEL ENHANCEMENT MODE MOSFET</t>
  </si>
  <si>
    <t>DMT6017LFDF</t>
  </si>
  <si>
    <t>DMT6017LFV</t>
  </si>
  <si>
    <t>DMT6017LSS</t>
  </si>
  <si>
    <t>DMT6018LDR</t>
  </si>
  <si>
    <t>V-DFN3030-8 (Type H)</t>
  </si>
  <si>
    <t>DMT6030LFCL</t>
  </si>
  <si>
    <t>DMT6030LFDF</t>
  </si>
  <si>
    <t>DMT615MLFV</t>
  </si>
  <si>
    <t>DMT616MLSS</t>
  </si>
  <si>
    <t>DMT61M5SPSW</t>
  </si>
  <si>
    <t>DMT61M8SPS</t>
  </si>
  <si>
    <t>DMT62M7SPSW</t>
  </si>
  <si>
    <t>DMT63M5LFG</t>
  </si>
  <si>
    <t>DMT64M1LCG</t>
  </si>
  <si>
    <t>DMT64M1LPSW</t>
  </si>
  <si>
    <t>DMT64M2LPSW</t>
  </si>
  <si>
    <t>DMT64M8LCG</t>
  </si>
  <si>
    <t>DMT64M8LSS</t>
  </si>
  <si>
    <t>DMT67M8LCG</t>
  </si>
  <si>
    <t>DMT67M8LCGQ</t>
  </si>
  <si>
    <t>DMT67M8LK3</t>
  </si>
  <si>
    <t>DMT67M8LPSW</t>
  </si>
  <si>
    <t>DMT67M8LSS</t>
  </si>
  <si>
    <t>DMT68M8LFV</t>
  </si>
  <si>
    <t>DMT68M8LPS</t>
  </si>
  <si>
    <t>DMT68M8LSS</t>
  </si>
  <si>
    <t>DMT69M5LCG</t>
  </si>
  <si>
    <t>12,5</t>
  </si>
  <si>
    <t>DMT69M5LFVW</t>
  </si>
  <si>
    <t>DMT69M5LFVWQ</t>
  </si>
  <si>
    <t>DMT69M5LH3</t>
  </si>
  <si>
    <t>DMT69M8LFV</t>
  </si>
  <si>
    <t>DMT69M9LPDW</t>
  </si>
  <si>
    <t>60V DUAL N-CHANNEL ENHANCEMENT MODE MOSFET PowerDI5060-8</t>
  </si>
  <si>
    <t>DMT8003SPSW</t>
  </si>
  <si>
    <t>80V N-Channel Enhancement Mode MOSFET</t>
  </si>
  <si>
    <t>DMT8003SPSWQ</t>
  </si>
  <si>
    <t>DMT8007LPSW</t>
  </si>
  <si>
    <t>DMT8008LFG</t>
  </si>
  <si>
    <t>80V N-CHANNEL ENHANCEMENT MODE MOSFET</t>
  </si>
  <si>
    <t>DMT8008LK3</t>
  </si>
  <si>
    <t>DMT8008LPS</t>
  </si>
  <si>
    <t>DMT8008LSS</t>
  </si>
  <si>
    <t>DMT8008SCT</t>
  </si>
  <si>
    <t>DMT8008SK3</t>
  </si>
  <si>
    <t>DMT8008SPS</t>
  </si>
  <si>
    <t>11 (@6V)</t>
  </si>
  <si>
    <t>23 (@6V)</t>
  </si>
  <si>
    <t>DMT8012LFG</t>
  </si>
  <si>
    <t>DMT8012LK3</t>
  </si>
  <si>
    <t>DMT8012LPS</t>
  </si>
  <si>
    <t>DMT8012LSS</t>
  </si>
  <si>
    <t>DMT8020LDG</t>
  </si>
  <si>
    <t>80V Symmetric Dual N-Channel MOSFET</t>
  </si>
  <si>
    <t>DMT8030LFDF</t>
  </si>
  <si>
    <t>DMTH10H003SPSW</t>
  </si>
  <si>
    <t>DMTH10H005LCT</t>
  </si>
  <si>
    <t>DMTH10H005SCT</t>
  </si>
  <si>
    <t>100V +175°C N-CHANNEL ENHANCEMENT MODE MOSFET</t>
  </si>
  <si>
    <t>DMTH10H009LFG</t>
  </si>
  <si>
    <t>DMTH10H009LFGQ</t>
  </si>
  <si>
    <t>100V +175°C N-Channel Enhancement Mode MOSFET</t>
  </si>
  <si>
    <t>DMTH10H009LPS</t>
  </si>
  <si>
    <t>DMTH10H009LPSQ</t>
  </si>
  <si>
    <t>DMTH10H009SPS</t>
  </si>
  <si>
    <t>DMTH10H009SPSQ</t>
  </si>
  <si>
    <t>DMTH10H010LCT</t>
  </si>
  <si>
    <t>DMTH10H010LCTB</t>
  </si>
  <si>
    <t>DMTH10H010LPS</t>
  </si>
  <si>
    <t>DMTH10H010SCT</t>
  </si>
  <si>
    <t>DMTH10H010SPS</t>
  </si>
  <si>
    <t>11.5 (@6V)</t>
  </si>
  <si>
    <t>DMTH10H010SPSQ</t>
  </si>
  <si>
    <t>DMTH10H010SPSWQ</t>
  </si>
  <si>
    <t>DMTH10H015LK3</t>
  </si>
  <si>
    <t>DMTH10H015LPS</t>
  </si>
  <si>
    <t>DMTH10H015LPSWQ</t>
  </si>
  <si>
    <t>DMTH10H015SK3</t>
  </si>
  <si>
    <t>DMTH10H015SK3Q</t>
  </si>
  <si>
    <t>DMTH10H015SPS</t>
  </si>
  <si>
    <t>19.5 (@6V)</t>
  </si>
  <si>
    <t>DMTH10H015SPSQ</t>
  </si>
  <si>
    <t>19.5 @ 6V</t>
  </si>
  <si>
    <t>DMTH10H015SPSW</t>
  </si>
  <si>
    <t>19.5 (@ 6V)</t>
  </si>
  <si>
    <t>DMTH10H015SPSWQ</t>
  </si>
  <si>
    <t>DMTH10H017LPD</t>
  </si>
  <si>
    <t>DMTH10H017LPDQ</t>
  </si>
  <si>
    <t>100V 175°C DUAL N-CHANNEL ENHANCEMENT MODE MOSFET</t>
  </si>
  <si>
    <t>DMTH10H025LK3</t>
  </si>
  <si>
    <t>DMTH10H025LK3Q</t>
  </si>
  <si>
    <t>DMTH10H025LPDW</t>
  </si>
  <si>
    <t>100V +175°C Dual N-Channel Enhancement Mode MOSFET</t>
  </si>
  <si>
    <t>DMTH10H025LPDWQ</t>
  </si>
  <si>
    <t>DMTH10H025LPS</t>
  </si>
  <si>
    <t>DMTH10H025LPSQ</t>
  </si>
  <si>
    <t>DMTH10H025LPSWQ</t>
  </si>
  <si>
    <t>DMTH10H025SK3</t>
  </si>
  <si>
    <t>13.4 (@6V)</t>
  </si>
  <si>
    <t>DMTH10H032LDVW</t>
  </si>
  <si>
    <t>100V 175°C Dual N-Channel Enhancement Mode MOSFET</t>
  </si>
  <si>
    <t>DMTH10H032LDVWQ</t>
  </si>
  <si>
    <t>DMTH10H032LFVW</t>
  </si>
  <si>
    <t>DMTH10H032LFVWQ</t>
  </si>
  <si>
    <t>DMTH10H032LPDW</t>
  </si>
  <si>
    <t>100V 175°C DUAL CHANNEL ENHANCEMENT MODE MOSFET
PowerDI5060-8</t>
  </si>
  <si>
    <t>DMTH10H032LPDWQ</t>
  </si>
  <si>
    <t>100V 175°C DUAL CHANNEL ENHANCEMENT MODE MOSFET</t>
  </si>
  <si>
    <t>DMTH10H032LPSW</t>
  </si>
  <si>
    <t>DMTH10H032LPSWQ</t>
  </si>
  <si>
    <t>DMTH10H032SDVW</t>
  </si>
  <si>
    <t>DMTH10H032SDVWQ</t>
  </si>
  <si>
    <t>DMTH10H032SPSW</t>
  </si>
  <si>
    <t>DMTH10H032SPSWQ</t>
  </si>
  <si>
    <t>DMTH10H038SPDW</t>
  </si>
  <si>
    <t>DMTH10H038SPDWQ</t>
  </si>
  <si>
    <t>DMTH10H071LFDFW</t>
  </si>
  <si>
    <t>DMTH10H071LFDFWQ</t>
  </si>
  <si>
    <t>DMTH10H072LPS</t>
  </si>
  <si>
    <t>DMTH10H1M7STLW</t>
  </si>
  <si>
    <t>100V 175°C N-CHANNEL ENHANCEMENT MODE MOSFET POWERDI1012-8</t>
  </si>
  <si>
    <t>PowerDI1012-8 (TOLL)</t>
  </si>
  <si>
    <t>DMTH10H1M7STLWQ</t>
  </si>
  <si>
    <t>100V 175°C N-channel Enhancement Mode MOSFET POWERDI1012-8 (TOLL)</t>
  </si>
  <si>
    <t>DMTH10H2M2LPSW</t>
  </si>
  <si>
    <t>DMTH10H2M2LPSWQ</t>
  </si>
  <si>
    <t>DMTH10H2M5STLW</t>
  </si>
  <si>
    <t>DMTH10H2M5STLWQ</t>
  </si>
  <si>
    <t>DMTH10H4M5LPS</t>
  </si>
  <si>
    <t>DMTH10H4M5LPSW</t>
  </si>
  <si>
    <t>DMTH10H4M5LPSWQ</t>
  </si>
  <si>
    <t>DMTH10H4M6SPS</t>
  </si>
  <si>
    <t>DMTH10H4M6SPSW</t>
  </si>
  <si>
    <t>DMTH10H4M6SPSWQ</t>
  </si>
  <si>
    <t>DMTH12H007SK3</t>
  </si>
  <si>
    <t>120V +175°C N-CHANNEL ENHANCEMENT MODE MOSFET</t>
  </si>
  <si>
    <t>DMTH12H007SPS</t>
  </si>
  <si>
    <t>120V 175°C N-CHANNEL ENHANCEMENT MODE MOSFET</t>
  </si>
  <si>
    <t>DMTH12H007SPSW</t>
  </si>
  <si>
    <t>DMTH12H007SPSWQ</t>
  </si>
  <si>
    <t>DMTH15H017LPSW</t>
  </si>
  <si>
    <t>150V +175°C N-CHANNEL ENHANCEMENT MODE MOSFET</t>
  </si>
  <si>
    <t>DMTH15H017LPSWQ</t>
  </si>
  <si>
    <t>150V 175°C N-CHANNEL ENHANCEMENT MODE MOSFET</t>
  </si>
  <si>
    <t>DMTH15H017SPS</t>
  </si>
  <si>
    <t>DMTH15H017SPSW</t>
  </si>
  <si>
    <t>DMTH15H017SPSWQ</t>
  </si>
  <si>
    <t>DMTH15H053SPSW</t>
  </si>
  <si>
    <t>150V +175°C N-Channel Enhancement Mode MOSFET</t>
  </si>
  <si>
    <t>DMTH15H053SPSWQ</t>
  </si>
  <si>
    <t>DMTH3002LK3</t>
  </si>
  <si>
    <t>30V 175°C N-CHANNEL ENHANCEMENT MODE MOSFET</t>
  </si>
  <si>
    <t>DMTH3002LPS</t>
  </si>
  <si>
    <t>30V +175°C N-CHANNEL ENHANCEMENT MODE MOSFET</t>
  </si>
  <si>
    <t>DMTH3004LFG</t>
  </si>
  <si>
    <t>DMTH3004LFGQ</t>
  </si>
  <si>
    <t>DMTH3004LK3</t>
  </si>
  <si>
    <t>DMTH3004LK3Q</t>
  </si>
  <si>
    <t>DMTH3004LPS</t>
  </si>
  <si>
    <t>DMTH3004LPSQ</t>
  </si>
  <si>
    <t>DMTH31M7LPSQ</t>
  </si>
  <si>
    <t>DMTH32M5LPS</t>
  </si>
  <si>
    <t>DMTH32M5LPSQ</t>
  </si>
  <si>
    <t>DMTH3M70LPSW</t>
  </si>
  <si>
    <t>30V +175°C N-Channel Enhancement Mode MOSFET</t>
  </si>
  <si>
    <t>DMTH3M70LPSWQ</t>
  </si>
  <si>
    <t>DMTH4001STLW</t>
  </si>
  <si>
    <t>40V 175°C N-CHANNEL ENHANCEMENT MODE MOSFET POWERDI1012-8 (TOLL)</t>
  </si>
  <si>
    <t>DMTH4001STLWQ</t>
  </si>
  <si>
    <t>DMTH4002SCTB</t>
  </si>
  <si>
    <t>DMTH4002SCTBQ</t>
  </si>
  <si>
    <t>DMTH4004LK3</t>
  </si>
  <si>
    <t>DMTH4004LK3Q</t>
  </si>
  <si>
    <t>DMTH4004LPS</t>
  </si>
  <si>
    <t>DMTH4004LPSQ</t>
  </si>
  <si>
    <t>DMTH4004LPSWQ</t>
  </si>
  <si>
    <t>40V +175°C N-Channel Enhancement Mode MOSFET</t>
  </si>
  <si>
    <t>DMTH4004SCTB</t>
  </si>
  <si>
    <t>DMTH4004SCTBQ</t>
  </si>
  <si>
    <t>DMTH4004SK3</t>
  </si>
  <si>
    <t>DMTH4004SK3Q</t>
  </si>
  <si>
    <t>DMTH4004SPS</t>
  </si>
  <si>
    <t>DMTH4004SPSQ</t>
  </si>
  <si>
    <t>DMTH4004SPSWQ</t>
  </si>
  <si>
    <t>DMTH4005SCT</t>
  </si>
  <si>
    <t>DMTH4005SK3</t>
  </si>
  <si>
    <t>DMTH4005SK3Q</t>
  </si>
  <si>
    <t>DMTH4005SPS</t>
  </si>
  <si>
    <t>DMTH4005SPSQ</t>
  </si>
  <si>
    <t>DMTH4005SPSWQ</t>
  </si>
  <si>
    <t>DMTH4007LK3</t>
  </si>
  <si>
    <t>DMTH4007LK3Q</t>
  </si>
  <si>
    <t>DMTH4007LPS</t>
  </si>
  <si>
    <t>DMTH4007LPSQ</t>
  </si>
  <si>
    <t>DMTH4007LPSWQ</t>
  </si>
  <si>
    <t>40V 175°C N-Channel Enhancement MODE MOSFET</t>
  </si>
  <si>
    <t>DMTH4007SK3</t>
  </si>
  <si>
    <t>DMTH4007SPD</t>
  </si>
  <si>
    <t>DMTH4007SPDQ</t>
  </si>
  <si>
    <t>40V +175°C DUAL N-CHANNEL ENHANCEMENT MODE MOSFET</t>
  </si>
  <si>
    <t>DMTH4007SPDWQ</t>
  </si>
  <si>
    <t>40V +175°C Dual N-Channel Enhancement Mode MOSFET</t>
  </si>
  <si>
    <t>DMTH4007SPS</t>
  </si>
  <si>
    <t>DMTH4007SPSQ</t>
  </si>
  <si>
    <t>DMTH4007SPSWQ</t>
  </si>
  <si>
    <t>DMTH4008LFDFW</t>
  </si>
  <si>
    <t>U-DFN2020-6 (SWP) (Type F)</t>
  </si>
  <si>
    <t>DMTH4008LFDFWQ</t>
  </si>
  <si>
    <t>DMTH4008LPDW</t>
  </si>
  <si>
    <t>DMTH4008LPDWQ</t>
  </si>
  <si>
    <t>DMTH4008LPS</t>
  </si>
  <si>
    <t>DMTH4008LPSQ</t>
  </si>
  <si>
    <t>DMTH4008LPSWQ</t>
  </si>
  <si>
    <t>DMTH4011SPD</t>
  </si>
  <si>
    <t>DMTH4011SPDQ</t>
  </si>
  <si>
    <t>DMTH4011SPDWQ</t>
  </si>
  <si>
    <t>DMTH4014LDVW</t>
  </si>
  <si>
    <t>DMTH4014LDVWQ</t>
  </si>
  <si>
    <t>DMTH4014LFVW</t>
  </si>
  <si>
    <t>DMTH4014LFVWQ</t>
  </si>
  <si>
    <t>DMTH4014LPD</t>
  </si>
  <si>
    <t>DMTH4014LPDQ</t>
  </si>
  <si>
    <t>DMTH4014LPDWQ</t>
  </si>
  <si>
    <t>DMTH4014LPSW</t>
  </si>
  <si>
    <t>DMTH4014LPSWQ</t>
  </si>
  <si>
    <t>DMTH4014SPSW</t>
  </si>
  <si>
    <t>DMTH4014SPSWQ</t>
  </si>
  <si>
    <t>DMTH41M2SPS</t>
  </si>
  <si>
    <t>DMTH41M2SPSQ</t>
  </si>
  <si>
    <t>DMTH41M3LPSW</t>
  </si>
  <si>
    <t>DMTH41M3LPSWQ</t>
  </si>
  <si>
    <t>DMTH41M3SPSW</t>
  </si>
  <si>
    <t>DMTH41M3SPSWQ</t>
  </si>
  <si>
    <t>DMTH41M8SPS</t>
  </si>
  <si>
    <t>DMTH41M8SPSQ</t>
  </si>
  <si>
    <t>DMTH42M4SPS</t>
  </si>
  <si>
    <t>DMTH42M4SPSQ</t>
  </si>
  <si>
    <t>40V, +175°C N-Channel Enhancement Mode MOSFET</t>
  </si>
  <si>
    <t>DMTH42M5LPSW</t>
  </si>
  <si>
    <t>DMTH42M5LPSWQ</t>
  </si>
  <si>
    <t>DMTH43M7LFG</t>
  </si>
  <si>
    <t>DMTH43M7LFGQ</t>
  </si>
  <si>
    <t>DMTH43M8LFG</t>
  </si>
  <si>
    <t>5 (@5V)</t>
  </si>
  <si>
    <t>DMTH43M8LFGQ</t>
  </si>
  <si>
    <t>DMTH43M8LFVW</t>
  </si>
  <si>
    <t>DMTH43M8LFVWQ</t>
  </si>
  <si>
    <t>DMTH43M8LK3</t>
  </si>
  <si>
    <t>5.2 (@5V)</t>
  </si>
  <si>
    <t>DMTH43M8LK3Q</t>
  </si>
  <si>
    <t>DMTH43M8LPDW</t>
  </si>
  <si>
    <t>DMTH43M8LPDWQ</t>
  </si>
  <si>
    <t>DMTH43M8LPS</t>
  </si>
  <si>
    <t>40V SINGLE N-CHANNEL ENHANCEMENT MODE MOSFET</t>
  </si>
  <si>
    <t>DMTH43M8LPSQ</t>
  </si>
  <si>
    <t>40V 175°C SINGLE N-CHANNEL ENHANCEMENT MODE MOSFET</t>
  </si>
  <si>
    <t>DMTH43M8LPSWQ</t>
  </si>
  <si>
    <t>DMTH43M8SPDW</t>
  </si>
  <si>
    <t>DMTH43M8SPDWQ</t>
  </si>
  <si>
    <t>DMTH45M5LFVW</t>
  </si>
  <si>
    <t>DMTH45M5LFVWQ</t>
  </si>
  <si>
    <t>DMTH45M5LPDW</t>
  </si>
  <si>
    <t>DMTH45M5LPDWQ</t>
  </si>
  <si>
    <t>DMTH45M5LPSW</t>
  </si>
  <si>
    <t>DMTH45M5LPSWQ</t>
  </si>
  <si>
    <t>DMTH45M5SFVW</t>
  </si>
  <si>
    <t>DMTH45M5SFVWQ</t>
  </si>
  <si>
    <t>DMTH45M5SPDW</t>
  </si>
  <si>
    <t>DMTH45M5SPDWQ</t>
  </si>
  <si>
    <t>DMTH45M5SPSW</t>
  </si>
  <si>
    <t>DMTH45M5SPSWQ</t>
  </si>
  <si>
    <t>DMTH47M2LFVW</t>
  </si>
  <si>
    <t>DMTH47M2LFVWQ</t>
  </si>
  <si>
    <t>DMTH47M2LPSW</t>
  </si>
  <si>
    <t>DMTH47M2LPSWQ</t>
  </si>
  <si>
    <t>DMTH47M2SK3</t>
  </si>
  <si>
    <t>DMTH47M2SPSW</t>
  </si>
  <si>
    <t>40V +175°C N-CHANNEL ENHANCEMENT MODE MOSFET PowerDI5060-8</t>
  </si>
  <si>
    <t>DMTH47M2SPSWQ</t>
  </si>
  <si>
    <t>DMTH48M3SFVW</t>
  </si>
  <si>
    <t>DMTH48M3SFVWQ</t>
  </si>
  <si>
    <t>DMTH4M70SPGW</t>
  </si>
  <si>
    <t>40V +175°C N-CHANNEL ENHANCEMENT MODE MOSFET PowerDI8080-5</t>
  </si>
  <si>
    <t>PowerDI8080-5</t>
  </si>
  <si>
    <t>DMTH4M70SPGWQ</t>
  </si>
  <si>
    <t>DMTH4M75LPSW</t>
  </si>
  <si>
    <t>DMTH4M75LPSWQ</t>
  </si>
  <si>
    <t>DMTH4M75SPSW</t>
  </si>
  <si>
    <t>DMTH4M75SPSWQ</t>
  </si>
  <si>
    <t>DMTH4M90LPSW</t>
  </si>
  <si>
    <t>DMTH4M90LPSWQ</t>
  </si>
  <si>
    <t>DMTH4M90SPSW</t>
  </si>
  <si>
    <t>DMTH4M90SPSWQ</t>
  </si>
  <si>
    <t>DMTH6002LPS</t>
  </si>
  <si>
    <t>DMTH6002LPSW</t>
  </si>
  <si>
    <t>DMTH6002LPSWQ</t>
  </si>
  <si>
    <t>DMTH6004LPS</t>
  </si>
  <si>
    <t>DMTH6004LPSQ</t>
  </si>
  <si>
    <t>DMTH6004LPSWQ</t>
  </si>
  <si>
    <t>DMTH6004SCT</t>
  </si>
  <si>
    <t>DMTH6004SCTB</t>
  </si>
  <si>
    <t>DMTH6004SCTBQ</t>
  </si>
  <si>
    <t>DMTH6004SK3</t>
  </si>
  <si>
    <t>DMTH6004SK3Q</t>
  </si>
  <si>
    <t>DMTH6004SPS</t>
  </si>
  <si>
    <t>DMTH6004SPSQ</t>
  </si>
  <si>
    <t>DMTH6004SPSWQ</t>
  </si>
  <si>
    <t>DMTH6005LCT</t>
  </si>
  <si>
    <t>DMTH6005LFG</t>
  </si>
  <si>
    <t>DMTH6005LFGQ</t>
  </si>
  <si>
    <t>DMTH6005LK3</t>
  </si>
  <si>
    <t>DMTH6005LK3Q</t>
  </si>
  <si>
    <t>DMTH6005LPS</t>
  </si>
  <si>
    <t>DMTH6005LPSQ</t>
  </si>
  <si>
    <t>DMTH6005LPSWQ</t>
  </si>
  <si>
    <t>DMTH6006LPSW</t>
  </si>
  <si>
    <t>DMTH6006LPSWQ</t>
  </si>
  <si>
    <t>DMTH6006SPS</t>
  </si>
  <si>
    <t>DMTH6009LK3</t>
  </si>
  <si>
    <t>DMTH6009LK3Q</t>
  </si>
  <si>
    <t>DMTH6009LPS</t>
  </si>
  <si>
    <t>DMTH6009LPSQ</t>
  </si>
  <si>
    <t>DMTH6009LPSWQ</t>
  </si>
  <si>
    <t>DMTH6009SPS</t>
  </si>
  <si>
    <t>DMTH6010LK3</t>
  </si>
  <si>
    <t>DMTH6010LK3Q</t>
  </si>
  <si>
    <t>DMTH6010LPD</t>
  </si>
  <si>
    <t>PowerDI5060-8 (Type C), PowerDI5060-8/SWP (Type UXD)</t>
  </si>
  <si>
    <t>DMTH6010LPDQ</t>
  </si>
  <si>
    <t>DMTH6010LPDW</t>
  </si>
  <si>
    <t>DMTH6010LPDWQ</t>
  </si>
  <si>
    <t>DMTH6010LPS</t>
  </si>
  <si>
    <t>DMTH6010LPSQ</t>
  </si>
  <si>
    <t>DMTH6010LPSW</t>
  </si>
  <si>
    <t>DMTH6010LPSWQ</t>
  </si>
  <si>
    <t>DMTH6010SCT</t>
  </si>
  <si>
    <t>DMTH6010SK3</t>
  </si>
  <si>
    <t>DMTH6010SK3Q</t>
  </si>
  <si>
    <t>DMTH6010SPS</t>
  </si>
  <si>
    <t>DMTH6012LPSW</t>
  </si>
  <si>
    <t>DMTH6012LPSWQ</t>
  </si>
  <si>
    <t>DMTH6015LDVW</t>
  </si>
  <si>
    <t>DMTH6015LDVWQ</t>
  </si>
  <si>
    <t>DMTH6015LPDW</t>
  </si>
  <si>
    <t>DMTH6015LPDWQ</t>
  </si>
  <si>
    <t>DMTH6016LFDFW</t>
  </si>
  <si>
    <t>DMTH6016LFDFWQ</t>
  </si>
  <si>
    <t>DMTH6016LFVW</t>
  </si>
  <si>
    <t>DMTH6016LFVWQ</t>
  </si>
  <si>
    <t>DMTH6016LK3</t>
  </si>
  <si>
    <t>DMTH6016LK3Q</t>
  </si>
  <si>
    <t>DMTH6016LPD</t>
  </si>
  <si>
    <t>DMTH6016LPDQ</t>
  </si>
  <si>
    <t>DMTH6016LPDWQ</t>
  </si>
  <si>
    <t>60V +175°C Dual N-Channel Enhancement Mode MOSFET</t>
  </si>
  <si>
    <t>DMTH6016LPS</t>
  </si>
  <si>
    <t>DMTH6016LPSQ</t>
  </si>
  <si>
    <t>DMTH6016LPSWQ</t>
  </si>
  <si>
    <t>DMTH6016LSD</t>
  </si>
  <si>
    <t>DMTH6016LSDQ</t>
  </si>
  <si>
    <t>DMTH6030LFDFW</t>
  </si>
  <si>
    <t>DMTH6030LFDFWQ</t>
  </si>
  <si>
    <t>DMTH61M5SPSW</t>
  </si>
  <si>
    <t>DMTH61M5SPSWQ</t>
  </si>
  <si>
    <t>DMTH61M8LPS</t>
  </si>
  <si>
    <t>DMTH61M8LPSQ</t>
  </si>
  <si>
    <t>DMTH61M8SPS</t>
  </si>
  <si>
    <t>DMTH61M8SPSQ</t>
  </si>
  <si>
    <t>DMTH62M7SPSW</t>
  </si>
  <si>
    <t>DMTH62M7SPSWQ</t>
  </si>
  <si>
    <t>DMTH62M8LPS</t>
  </si>
  <si>
    <t>DMTH62M8SPS</t>
  </si>
  <si>
    <t>DMTH63M5LFG</t>
  </si>
  <si>
    <t>DMTH63M5LFGQ</t>
  </si>
  <si>
    <t>DMTH63M6LPSW</t>
  </si>
  <si>
    <t>DMTH63M6LPSWQ</t>
  </si>
  <si>
    <t>DMTH69M8LFVW</t>
  </si>
  <si>
    <t>DMTH69M8LFVWQ</t>
  </si>
  <si>
    <t>DMTH69M9LPDW</t>
  </si>
  <si>
    <t>DMTH69M9LPDWQ</t>
  </si>
  <si>
    <t xml:space="preserve">51.7 </t>
  </si>
  <si>
    <t>DMTH8001STLW</t>
  </si>
  <si>
    <t>80V 175°C N-CHANNEL ENHANCEMENT MODE MOSFET POWERDI1012-8</t>
  </si>
  <si>
    <t>DMTH8001STLWQ</t>
  </si>
  <si>
    <t>80V 175°C N-Channel Enhancement Mode MOSFET POWERDI1012-8 (TOLL)</t>
  </si>
  <si>
    <t>DMTH8003SPS</t>
  </si>
  <si>
    <t>80V +175°C N-CHANNEL ENHANCEMENT MODE MOSFET</t>
  </si>
  <si>
    <t>6 (@6V)</t>
  </si>
  <si>
    <t>DMTH8003SPSW</t>
  </si>
  <si>
    <t>80V +175°C N-Channel Enhancement Mode MOSFET</t>
  </si>
  <si>
    <t>DMTH8003SPSWQ</t>
  </si>
  <si>
    <t>DMTH8003STLW</t>
  </si>
  <si>
    <t>80V 175°C N-Channel Enhancement Mode MOSFET</t>
  </si>
  <si>
    <t>DMTH8003STLWQ</t>
  </si>
  <si>
    <t>80V 175°C Dual N-Channel Enhancement Mode MOSFET</t>
  </si>
  <si>
    <t>DMTH8004LPS</t>
  </si>
  <si>
    <t>80V 175°C N-CHANNEL ENHANCEMENT MODE MOSFET</t>
  </si>
  <si>
    <t>DMTH8004LPSW</t>
  </si>
  <si>
    <t>DMTH8008LFG</t>
  </si>
  <si>
    <t>DMTH8008LFGQ</t>
  </si>
  <si>
    <t>DMTH8008LPS</t>
  </si>
  <si>
    <t>DMTH8008LPSQ</t>
  </si>
  <si>
    <t>DMTH8008LPSWQ</t>
  </si>
  <si>
    <t>DMTH8008SFG</t>
  </si>
  <si>
    <t>10.5 @6V</t>
  </si>
  <si>
    <t>DMTH8008SFGQ</t>
  </si>
  <si>
    <t>DMTH8008SPS</t>
  </si>
  <si>
    <t>DMTH8008SPSQ</t>
  </si>
  <si>
    <t>DMTH8008SPSWQ</t>
  </si>
  <si>
    <t>DMTH8012LK3</t>
  </si>
  <si>
    <t>DMTH8012LK3Q</t>
  </si>
  <si>
    <t>DMTH8012LPS</t>
  </si>
  <si>
    <t>DMTH8012LPSQ</t>
  </si>
  <si>
    <t>DMTH8012LPSW</t>
  </si>
  <si>
    <t>N-CHANNEL ENHANCEMENT MODE VERTICAL DMOS FET</t>
  </si>
  <si>
    <t>DMTH8028LFVW</t>
  </si>
  <si>
    <t>80V 175°C N-CHANNEL ENHANCEMENT MODE MOSFET PowerDI3333-8</t>
  </si>
  <si>
    <t>DMTH8028LFVWQ</t>
  </si>
  <si>
    <t>DMTH8028LPSW</t>
  </si>
  <si>
    <t>DMTH8028LPSWQ</t>
  </si>
  <si>
    <t>DMTH8030LFDFW</t>
  </si>
  <si>
    <t>DMTH8030LFDFWQ</t>
  </si>
  <si>
    <t>DMTH8030LPDW</t>
  </si>
  <si>
    <t>80V 175°C DUAL N-CHANNEL ENHANCEMENT MODE MOSFET 
PowerDI5060-8</t>
  </si>
  <si>
    <t>DMTH8030LPDWQ</t>
  </si>
  <si>
    <t>DMTH83M2SPSW</t>
  </si>
  <si>
    <t>DMTH83M2SPSWQ</t>
  </si>
  <si>
    <t>DMTH84M1SPS</t>
  </si>
  <si>
    <t>5.7 (@6V)</t>
  </si>
  <si>
    <t>41 (@6V)</t>
  </si>
  <si>
    <t>DMTH84M1SPSQ</t>
  </si>
  <si>
    <t>DMTH84M1SPSW</t>
  </si>
  <si>
    <t>DMTH84M1SPSWQ</t>
  </si>
  <si>
    <t>DMWS120H100SM4</t>
  </si>
  <si>
    <t>1200V N-Channel Silicon Carbide Power MOSFET</t>
  </si>
  <si>
    <t>15, 4</t>
  </si>
  <si>
    <t>100 @ 15V</t>
  </si>
  <si>
    <t>59.5 @ 15V</t>
  </si>
  <si>
    <t>TO247-4 Standard</t>
  </si>
  <si>
    <t>DMWSH120H23SM3</t>
  </si>
  <si>
    <t>1200V N-Channel Silicon Carbide</t>
  </si>
  <si>
    <t>18, 4</t>
  </si>
  <si>
    <t>23 (@ 18V)</t>
  </si>
  <si>
    <t>217 (@ 18V)</t>
  </si>
  <si>
    <t>TO247 Standard</t>
  </si>
  <si>
    <t>DMWSH120H23SM4</t>
  </si>
  <si>
    <t>DMWSH120H28SM3</t>
  </si>
  <si>
    <t>28.5 (@ 15V)</t>
  </si>
  <si>
    <t>175 (@ 15V)</t>
  </si>
  <si>
    <t>DMWSH120H28SM3Q</t>
  </si>
  <si>
    <t>DMWSH120H28SM4</t>
  </si>
  <si>
    <t>173.7 (@ 15V)</t>
  </si>
  <si>
    <t>DMWSH120H28SM4Q</t>
  </si>
  <si>
    <t>DMWSH120H43SM3</t>
  </si>
  <si>
    <t>43 (@ 15V)</t>
  </si>
  <si>
    <t>105 (@ 15V)</t>
  </si>
  <si>
    <t>DMWSH120H43SM3Q</t>
  </si>
  <si>
    <t>43 (@ 15)</t>
  </si>
  <si>
    <t>118 (@ 15V)</t>
  </si>
  <si>
    <t>DMWSH120H43SM4</t>
  </si>
  <si>
    <t>DMWSH120H43SM4Q</t>
  </si>
  <si>
    <t>114 (@ 15V)</t>
  </si>
  <si>
    <t>DMWSH120H80SM3</t>
  </si>
  <si>
    <t>80.5 (@ 18V)</t>
  </si>
  <si>
    <t>59.1 (@ 18V)</t>
  </si>
  <si>
    <t>DMWSH120H80SM4</t>
  </si>
  <si>
    <t>DMWSH120H90SCT7</t>
  </si>
  <si>
    <t>90 (@ 15V)</t>
  </si>
  <si>
    <t>54.6 (@ 15V)</t>
  </si>
  <si>
    <t>TO263-7</t>
  </si>
  <si>
    <t>DMWSH120H90SCT7Q</t>
  </si>
  <si>
    <t>DMWSH120H90SM3</t>
  </si>
  <si>
    <t>97.5 (@ 15V)</t>
  </si>
  <si>
    <t>50.9 (@ 15V)</t>
  </si>
  <si>
    <t>DMWSH120H90SM3Q</t>
  </si>
  <si>
    <t>DMWSH120H90SM4</t>
  </si>
  <si>
    <t>51.1 (@ 15V)</t>
  </si>
  <si>
    <t>DMWSH120H90SM4Q</t>
  </si>
  <si>
    <t>DTM3A25P20NFDB</t>
  </si>
  <si>
    <t>25V PNP Low Sat Transistor with N-Channel MOSFET</t>
  </si>
  <si>
    <t>N+PNP</t>
  </si>
  <si>
    <t>MMBF170</t>
  </si>
  <si>
    <t>MMBF170Q</t>
  </si>
  <si>
    <t>NMSD200B01</t>
  </si>
  <si>
    <t>multi-chip</t>
  </si>
  <si>
    <t>N+SKY</t>
  </si>
  <si>
    <t>3000@5V</t>
  </si>
  <si>
    <t>&lt;=50</t>
  </si>
  <si>
    <t>VN10LF</t>
  </si>
  <si>
    <t>VN10LP</t>
  </si>
  <si>
    <t>60 max @ 25V</t>
  </si>
  <si>
    <t>ZVN0124A</t>
  </si>
  <si>
    <t>ZVN0545A</t>
  </si>
  <si>
    <t>70 max @ 25V</t>
  </si>
  <si>
    <t>ZVN0545G</t>
  </si>
  <si>
    <t>SOT223 (Type DN)</t>
  </si>
  <si>
    <t>ZVN2106A</t>
  </si>
  <si>
    <t>75 max @ 18V</t>
  </si>
  <si>
    <t>ZVN2106G</t>
  </si>
  <si>
    <t>ZVN2110A</t>
  </si>
  <si>
    <t>75 max @ 25V</t>
  </si>
  <si>
    <t>ZVN2110G</t>
  </si>
  <si>
    <t>59 @ 25V</t>
  </si>
  <si>
    <t>ZVN2120G</t>
  </si>
  <si>
    <t>ZVN3306A</t>
  </si>
  <si>
    <t>35 max @ 18V</t>
  </si>
  <si>
    <t>ZVN3306F</t>
  </si>
  <si>
    <t>ZVN3310A</t>
  </si>
  <si>
    <t>40 max @ 25V</t>
  </si>
  <si>
    <t>ZVN3310F</t>
  </si>
  <si>
    <t>N Channel</t>
  </si>
  <si>
    <t>ZVN3320F</t>
  </si>
  <si>
    <t>45 max @ 25V</t>
  </si>
  <si>
    <t>ZVN4106F</t>
  </si>
  <si>
    <t>60V N-CHANNEL ENHANCEMENT MODE VERTICAL DMOS FET IN E-LINE</t>
  </si>
  <si>
    <t>5000 (@5V)</t>
  </si>
  <si>
    <t>35 max @ 25V</t>
  </si>
  <si>
    <t>ZVN4206A</t>
  </si>
  <si>
    <t>1500 (@5V)</t>
  </si>
  <si>
    <t>100 max @ 25V</t>
  </si>
  <si>
    <t>ZVN4206AV</t>
  </si>
  <si>
    <t>ZVN4206G</t>
  </si>
  <si>
    <t>ZVN4206GV</t>
  </si>
  <si>
    <t>ZVN4210A</t>
  </si>
  <si>
    <t>ZVN4210G</t>
  </si>
  <si>
    <t>ZVN4306A</t>
  </si>
  <si>
    <t>450 (@5V)</t>
  </si>
  <si>
    <t>350 max @ 25V</t>
  </si>
  <si>
    <t>ZVN4306AV</t>
  </si>
  <si>
    <t>ZVN4306G</t>
  </si>
  <si>
    <t>ZVN4306GV</t>
  </si>
  <si>
    <t>ZVN4310A</t>
  </si>
  <si>
    <t>650 (@5V)</t>
  </si>
  <si>
    <t>ZVN4310G</t>
  </si>
  <si>
    <t>100V N-Channel Enhancement Mode Vertical MOSFET in SOT223</t>
  </si>
  <si>
    <t>750 (@5V)</t>
  </si>
  <si>
    <t>ZVN4424A</t>
  </si>
  <si>
    <t>240V N-CHANNEL ENHANCEMENT MODE VERTICAL DMOSFET</t>
  </si>
  <si>
    <t>110 @ 25V</t>
  </si>
  <si>
    <t>ZVN4424G</t>
  </si>
  <si>
    <t>ZVN4525E6</t>
  </si>
  <si>
    <t>9500 (@2.4V)</t>
  </si>
  <si>
    <t>72 @ 25V</t>
  </si>
  <si>
    <t>ZVN4525G</t>
  </si>
  <si>
    <t>ZVN4525Z</t>
  </si>
  <si>
    <t>ZVNL110A</t>
  </si>
  <si>
    <t>4500 (@5V)</t>
  </si>
  <si>
    <t>ZVNL110G</t>
  </si>
  <si>
    <t>47 @ 25V</t>
  </si>
  <si>
    <t>ZVNL120A</t>
  </si>
  <si>
    <t>10000 (@3V)</t>
  </si>
  <si>
    <t>ZVNL120G</t>
  </si>
  <si>
    <t>ZVP0545A</t>
  </si>
  <si>
    <t>120 max @ 25V</t>
  </si>
  <si>
    <t>ZVP0545G</t>
  </si>
  <si>
    <t>ZVP1320F</t>
  </si>
  <si>
    <t>ZVP1320FQ</t>
  </si>
  <si>
    <t>ZVP2106A</t>
  </si>
  <si>
    <t>100 @ 18V</t>
  </si>
  <si>
    <t>ZVP2106G</t>
  </si>
  <si>
    <t>100 max @ 18V</t>
  </si>
  <si>
    <t>ZVP2110A</t>
  </si>
  <si>
    <t>ZVP2110G</t>
  </si>
  <si>
    <t>ZVP2120A</t>
  </si>
  <si>
    <t>ZVP2120G</t>
  </si>
  <si>
    <t>ZVP3306A</t>
  </si>
  <si>
    <t>50 @ 18V</t>
  </si>
  <si>
    <t>ZVP3306F</t>
  </si>
  <si>
    <t>ZVP3310A</t>
  </si>
  <si>
    <t>ZVP3310F</t>
  </si>
  <si>
    <t>ZVP3310FQ</t>
  </si>
  <si>
    <t>100V P-Channel Enhancement Mode MOSFET</t>
  </si>
  <si>
    <t>ZVP4424A</t>
  </si>
  <si>
    <t>11000 (@3.5V)</t>
  </si>
  <si>
    <t>ZVP4424G</t>
  </si>
  <si>
    <t>ZVP4424Z</t>
  </si>
  <si>
    <t>ZVP4525E6</t>
  </si>
  <si>
    <t>73 @ 25V</t>
  </si>
  <si>
    <t>ZVP4525G</t>
  </si>
  <si>
    <t>ZVP4525GQ</t>
  </si>
  <si>
    <t>250V PCHANNEL ENHANCEMENT MODE MOSFET</t>
  </si>
  <si>
    <t>ZVP4525Z</t>
  </si>
  <si>
    <t>ZXM61N02F</t>
  </si>
  <si>
    <t>240 (@2.7V)</t>
  </si>
  <si>
    <t>ZXM61N03F</t>
  </si>
  <si>
    <t>ZXM61P02F</t>
  </si>
  <si>
    <t>900 (@2.7V)</t>
  </si>
  <si>
    <t>ZXM61P03F</t>
  </si>
  <si>
    <t>ZXM62P02E6</t>
  </si>
  <si>
    <t>375 (@2.7V)</t>
  </si>
  <si>
    <t>ZXM62P03E6</t>
  </si>
  <si>
    <t>ZXM64P02X</t>
  </si>
  <si>
    <t>130 (@2.7V)</t>
  </si>
  <si>
    <t>MSOP-8</t>
  </si>
  <si>
    <t>ZXM64P03X</t>
  </si>
  <si>
    <t>ZXMC3A16DN8</t>
  </si>
  <si>
    <t>6.4, 5.4</t>
  </si>
  <si>
    <t>35, 48</t>
  </si>
  <si>
    <t>50, 70</t>
  </si>
  <si>
    <t>9.2, 12.9 (@5V)</t>
  </si>
  <si>
    <t>17.5, 24.9</t>
  </si>
  <si>
    <t>796, 970</t>
  </si>
  <si>
    <t>ZXMC3A16DN8Q</t>
  </si>
  <si>
    <t>50,70</t>
  </si>
  <si>
    <t>ZXMC3A17DN8</t>
  </si>
  <si>
    <t>5.4, 4.4</t>
  </si>
  <si>
    <t>65, 110</t>
  </si>
  <si>
    <t>6.9, 8.3 (@5V)</t>
  </si>
  <si>
    <t>12.2, 15.8</t>
  </si>
  <si>
    <t>600, 630</t>
  </si>
  <si>
    <t>ZXMC3A18DN8</t>
  </si>
  <si>
    <t>7.6, 6.3</t>
  </si>
  <si>
    <t>25, 35</t>
  </si>
  <si>
    <t>30, 50</t>
  </si>
  <si>
    <t>19.4, 25 (@5V)</t>
  </si>
  <si>
    <t>36, 45</t>
  </si>
  <si>
    <t>1800, 1603</t>
  </si>
  <si>
    <t>ZXMC3AMC</t>
  </si>
  <si>
    <t>3.7, 2.7</t>
  </si>
  <si>
    <t>120, 210</t>
  </si>
  <si>
    <t>180, 330</t>
  </si>
  <si>
    <t>2.3, 3.8</t>
  </si>
  <si>
    <t>3.9, 6.4</t>
  </si>
  <si>
    <t>190, 206</t>
  </si>
  <si>
    <t>ZXMC3F31DN8</t>
  </si>
  <si>
    <t>30V SO8 Complementary dual enhancement mode MOSFET</t>
  </si>
  <si>
    <t>7.3, 5.3</t>
  </si>
  <si>
    <t>39, 80</t>
  </si>
  <si>
    <t>12.9, 12.7</t>
  </si>
  <si>
    <t>608, 670</t>
  </si>
  <si>
    <t>ZXMC4559DN8</t>
  </si>
  <si>
    <t>4.7, 3.9</t>
  </si>
  <si>
    <t>55, 105</t>
  </si>
  <si>
    <t>75, 125</t>
  </si>
  <si>
    <t>11, 12.1 (@5V)</t>
  </si>
  <si>
    <t>20.4, 24.2</t>
  </si>
  <si>
    <t>1063, 1021</t>
  </si>
  <si>
    <t>ZXMC4A16DN8</t>
  </si>
  <si>
    <t>5.2, 4.7</t>
  </si>
  <si>
    <t>50, 60</t>
  </si>
  <si>
    <t>75, 100</t>
  </si>
  <si>
    <t>17, 26</t>
  </si>
  <si>
    <t>770, 1000</t>
  </si>
  <si>
    <t>ZXMC6A09DN8</t>
  </si>
  <si>
    <t>5.1, 4.8</t>
  </si>
  <si>
    <t>45, 55</t>
  </si>
  <si>
    <t>70, 80</t>
  </si>
  <si>
    <t>12.4, 23 (@5V)</t>
  </si>
  <si>
    <t>24.2, 44</t>
  </si>
  <si>
    <t>1407, 1508</t>
  </si>
  <si>
    <t>ZXMD63N03X</t>
  </si>
  <si>
    <t>ZXMHC10A07N8</t>
  </si>
  <si>
    <t>100V SO8 Complementary enhancement mode MOSFET H-Bridge</t>
  </si>
  <si>
    <t>0.8,0.68</t>
  </si>
  <si>
    <t>700, 1000</t>
  </si>
  <si>
    <t>2.9, 3.5</t>
  </si>
  <si>
    <t>138, 141</t>
  </si>
  <si>
    <t>ZXMHC10A07T8</t>
  </si>
  <si>
    <t>COMPLEMENTARY 100V ENHANCEMENT MODE MOSFET H-BRIDGE</t>
  </si>
  <si>
    <t>1.0, 0.8</t>
  </si>
  <si>
    <t>SM-8</t>
  </si>
  <si>
    <t>ZXMHC3A01N8</t>
  </si>
  <si>
    <t>30V SO8 Complementary enhancement mode MOSFET H-Bridge</t>
  </si>
  <si>
    <t>2.17, 1.64</t>
  </si>
  <si>
    <t>125, 210</t>
  </si>
  <si>
    <t>3.9, 5.2</t>
  </si>
  <si>
    <t>190, 204</t>
  </si>
  <si>
    <t>ZXMHC3A01T8</t>
  </si>
  <si>
    <t>COMPLEMENTARY 30V ENHANCEMENT MODE MOSFET H-BRIDGE</t>
  </si>
  <si>
    <t>2.7, 2.0</t>
  </si>
  <si>
    <t>ZXMHC3F381N8</t>
  </si>
  <si>
    <t>3.98, 3.36</t>
  </si>
  <si>
    <t>33, 55</t>
  </si>
  <si>
    <t>60, 80</t>
  </si>
  <si>
    <t>9, 12.7</t>
  </si>
  <si>
    <t>430, 670</t>
  </si>
  <si>
    <t>ZXMHC6A07N8</t>
  </si>
  <si>
    <t>60V SO8 Complementary enhancement mode MOSFET H-Bridge</t>
  </si>
  <si>
    <t>1.39, 1.28</t>
  </si>
  <si>
    <t>250, 400</t>
  </si>
  <si>
    <t>350, 600</t>
  </si>
  <si>
    <t>3.2, 5.1</t>
  </si>
  <si>
    <t>166, 141</t>
  </si>
  <si>
    <t>40, 50</t>
  </si>
  <si>
    <t>ZXMHC6A07T8</t>
  </si>
  <si>
    <t>COMPLEMENTARY 60V ENHANCEMENT MODE MOSFET H-BRIDGE</t>
  </si>
  <si>
    <t>1.6, 1.3</t>
  </si>
  <si>
    <t>300, 425</t>
  </si>
  <si>
    <t>450, 630</t>
  </si>
  <si>
    <t>166, 233</t>
  </si>
  <si>
    <t>40, 30</t>
  </si>
  <si>
    <t>ZXMHN6A07T8</t>
  </si>
  <si>
    <t>60V N-CHANNEL MOSFET H-BRIDGE</t>
  </si>
  <si>
    <t>ZXMN10A07F</t>
  </si>
  <si>
    <t>ZXMN10A07Z</t>
  </si>
  <si>
    <t>100V N-CHANNEL ENHANCEMENT MODE MOSFET IN SOT89 PACKAGE</t>
  </si>
  <si>
    <t>ZXMN10A08DN8</t>
  </si>
  <si>
    <t>300 (@6V)</t>
  </si>
  <si>
    <t>4.2 (@5V)</t>
  </si>
  <si>
    <t>ZXMN10A08E6</t>
  </si>
  <si>
    <t>ZXMN10A08G</t>
  </si>
  <si>
    <t>ZXMN10A09K</t>
  </si>
  <si>
    <t>100 (@6V)</t>
  </si>
  <si>
    <t>17.2 (@5V)</t>
  </si>
  <si>
    <t>ZXMN10A11G</t>
  </si>
  <si>
    <t>450 (@6V)</t>
  </si>
  <si>
    <t>3.5 (@5V)</t>
  </si>
  <si>
    <t>ZXMN10A11K</t>
  </si>
  <si>
    <t>ZXMN10A25G</t>
  </si>
  <si>
    <t>150 (@6V)</t>
  </si>
  <si>
    <t>9.6 (@5V)</t>
  </si>
  <si>
    <t>ZXMN10A25K</t>
  </si>
  <si>
    <t>ZXMN10B08E6</t>
  </si>
  <si>
    <t>ZXMN15A27K</t>
  </si>
  <si>
    <t>169 @ 25V</t>
  </si>
  <si>
    <t>ZXMN20B28K</t>
  </si>
  <si>
    <t>780 (@5V)</t>
  </si>
  <si>
    <t>8.1 (@5V)</t>
  </si>
  <si>
    <t>358 @ 25V</t>
  </si>
  <si>
    <t>ZXMN2A01E6</t>
  </si>
  <si>
    <t>ZXMN2A01F</t>
  </si>
  <si>
    <t>ZXMN2A02N8</t>
  </si>
  <si>
    <t>ZXMN2A03E6</t>
  </si>
  <si>
    <t>ZXMN2A04DN8</t>
  </si>
  <si>
    <t>ZXMN2A14F</t>
  </si>
  <si>
    <t>ZXMN2AMC</t>
  </si>
  <si>
    <t>ZXMN2B01F</t>
  </si>
  <si>
    <t>ZXMN2B03E6</t>
  </si>
  <si>
    <t>ZXMN2B14FH</t>
  </si>
  <si>
    <t>ZXMN2F30FH</t>
  </si>
  <si>
    <t>ZXMN2F34FH</t>
  </si>
  <si>
    <t>ZXMN3A01E6</t>
  </si>
  <si>
    <t>2.3 (@5V)</t>
  </si>
  <si>
    <t>ZXMN3A01F</t>
  </si>
  <si>
    <t>ZXMN3A01Z</t>
  </si>
  <si>
    <t>ZXMN3A02X8</t>
  </si>
  <si>
    <t>14.5 (@5V)</t>
  </si>
  <si>
    <t>ZXMN3A03E6</t>
  </si>
  <si>
    <t>6.9 (@5V)</t>
  </si>
  <si>
    <t>ZXMN3A04DN8</t>
  </si>
  <si>
    <t>19.9 (@5V)</t>
  </si>
  <si>
    <t>ZXMN3A04K</t>
  </si>
  <si>
    <t>ZXMN3A06DN8</t>
  </si>
  <si>
    <t>9.2 (@5V)</t>
  </si>
  <si>
    <t>ZXMN3A14F</t>
  </si>
  <si>
    <t>ZXMN3A14FQ</t>
  </si>
  <si>
    <t>ZXMN3AMC</t>
  </si>
  <si>
    <t>3.7, 3.0</t>
  </si>
  <si>
    <t>ZXMN3B01F</t>
  </si>
  <si>
    <t>ZXMN3B04N8</t>
  </si>
  <si>
    <t>ZXMN3B14F</t>
  </si>
  <si>
    <t>ZXMN3F30FH</t>
  </si>
  <si>
    <t>4.6, 4.0</t>
  </si>
  <si>
    <t>ZXMN3F31DN8</t>
  </si>
  <si>
    <t>7.3, 5.7</t>
  </si>
  <si>
    <t>ZXMN3G32DN8</t>
  </si>
  <si>
    <t>7.1, 5.6</t>
  </si>
  <si>
    <t>ZXMN4A06G</t>
  </si>
  <si>
    <t>770 @ 40V</t>
  </si>
  <si>
    <t>ZXMN4A06GQ</t>
  </si>
  <si>
    <t>ZXMN4A06K</t>
  </si>
  <si>
    <t>ZXMN6A07F</t>
  </si>
  <si>
    <t>1.65 (@5V)</t>
  </si>
  <si>
    <t>166 @ 40V</t>
  </si>
  <si>
    <t>ZXMN6A07FQ</t>
  </si>
  <si>
    <t>1.65 (@ 5V)</t>
  </si>
  <si>
    <t>ZXMN6A07Z</t>
  </si>
  <si>
    <t>ZXMN6A08E6</t>
  </si>
  <si>
    <t>459 @ 40V</t>
  </si>
  <si>
    <t>ZXMN6A08E6Q</t>
  </si>
  <si>
    <t>ZXMN6A08G</t>
  </si>
  <si>
    <t>4 (@5V)</t>
  </si>
  <si>
    <t>ZXMN6A08GQ</t>
  </si>
  <si>
    <t>60V SOT223 N-channel enhancement mode MOSFET</t>
  </si>
  <si>
    <t>SOT223 (Type ZN)</t>
  </si>
  <si>
    <t>ZXMN6A08K</t>
  </si>
  <si>
    <t>ZXMN6A09DN8</t>
  </si>
  <si>
    <t>1407 @ 40V</t>
  </si>
  <si>
    <t>ZXMN6A09G</t>
  </si>
  <si>
    <t>ZXMN6A09GQ</t>
  </si>
  <si>
    <t>ZXMN6A09K</t>
  </si>
  <si>
    <t>ZXMN6A11DN8</t>
  </si>
  <si>
    <t>3 (@5V)</t>
  </si>
  <si>
    <t>330 @ 40V</t>
  </si>
  <si>
    <t>ZXMN6A11G</t>
  </si>
  <si>
    <t>ZXMN6A11Z</t>
  </si>
  <si>
    <t>ZXMN6A25DN8</t>
  </si>
  <si>
    <t>11 (@5V)</t>
  </si>
  <si>
    <t>ZXMN6A25G</t>
  </si>
  <si>
    <t>ZXMN6A25K</t>
  </si>
  <si>
    <t>ZXMN6A25N8</t>
  </si>
  <si>
    <t>ZXMN7A11G</t>
  </si>
  <si>
    <t>4.35 (@5V)</t>
  </si>
  <si>
    <t>298 @ 40V</t>
  </si>
  <si>
    <t>ZXMN7A11GQ</t>
  </si>
  <si>
    <t>ZXMN7A11K</t>
  </si>
  <si>
    <t>ZXMP10A13F</t>
  </si>
  <si>
    <t>1450(@6V)</t>
  </si>
  <si>
    <t>1.8 (@5V)</t>
  </si>
  <si>
    <t>ZXMP10A13FQ</t>
  </si>
  <si>
    <t>ZXMP10A16K</t>
  </si>
  <si>
    <t>285(@6V)</t>
  </si>
  <si>
    <t>ZXMP10A17E6</t>
  </si>
  <si>
    <t>450(@6V)</t>
  </si>
  <si>
    <t>7.1(@6V)</t>
  </si>
  <si>
    <t>ZXMP10A17E6Q</t>
  </si>
  <si>
    <t>ZXMP10A17G</t>
  </si>
  <si>
    <t>ZXMP10A17GQ</t>
  </si>
  <si>
    <t>ZXMP10A17K</t>
  </si>
  <si>
    <t>ZXMP10A18G</t>
  </si>
  <si>
    <t>190(@6V)</t>
  </si>
  <si>
    <t>ZXMP10A18K</t>
  </si>
  <si>
    <t>ZXMP10A18KQ</t>
  </si>
  <si>
    <t>190 (@ -6V)</t>
  </si>
  <si>
    <t>ZXMP2120FF</t>
  </si>
  <si>
    <t>SOT23F</t>
  </si>
  <si>
    <t>ZXMP3A13F</t>
  </si>
  <si>
    <t>3.8 (@5V)</t>
  </si>
  <si>
    <t>ZXMP3A16DN8</t>
  </si>
  <si>
    <t>ZXMP3A16G</t>
  </si>
  <si>
    <t>ZXMP3A16N8</t>
  </si>
  <si>
    <t>ZXMP3A17DN8</t>
  </si>
  <si>
    <t>8.28 (@5V)</t>
  </si>
  <si>
    <t>ZXMP3A17E6</t>
  </si>
  <si>
    <t>ZXMP3F30FH</t>
  </si>
  <si>
    <t>ZXMP4A16G</t>
  </si>
  <si>
    <t>13.6 (@5V)</t>
  </si>
  <si>
    <t>ZXMP4A16GQ</t>
  </si>
  <si>
    <t>ZXMP4A16K</t>
  </si>
  <si>
    <t>16.5 (@5V)</t>
  </si>
  <si>
    <t>ZXMP4A57E6</t>
  </si>
  <si>
    <t>ZXMP6A13F</t>
  </si>
  <si>
    <t>ZXMP6A13FQ</t>
  </si>
  <si>
    <t>ZXMP6A13G</t>
  </si>
  <si>
    <t>ZXMP6A16DN8</t>
  </si>
  <si>
    <t>12.1 (@5V)</t>
  </si>
  <si>
    <t>ZXMP6A16DN8Q</t>
  </si>
  <si>
    <t>DUAL P-CHANNEL 60V ENHANCEMENT MODE MOSFET</t>
  </si>
  <si>
    <t>ZXMP6A16K</t>
  </si>
  <si>
    <t>ZXMP6A17DN8</t>
  </si>
  <si>
    <t>ZXMP6A17E6</t>
  </si>
  <si>
    <t>9.8 (@5V)</t>
  </si>
  <si>
    <t>ZXMP6A17E6Q</t>
  </si>
  <si>
    <t>ZXMP6A17G</t>
  </si>
  <si>
    <t>ZXMP6A17GQ</t>
  </si>
  <si>
    <t>ZXMP6A17K</t>
  </si>
  <si>
    <t>ZXMP6A17N8</t>
  </si>
  <si>
    <t>ZXMP6A18DN8</t>
  </si>
  <si>
    <t>23 (@5V)</t>
  </si>
  <si>
    <t>ZXMP6A18K</t>
  </si>
  <si>
    <t>ZXMP7A17G</t>
  </si>
  <si>
    <t>ZXMP7A17GQ</t>
  </si>
  <si>
    <t>70V P-CHANNEL ENHANCEMENT MODE MOSFET</t>
  </si>
  <si>
    <t>ZXMP7A17K</t>
  </si>
  <si>
    <t>ZXMP7A17KQ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</si>
</sst>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2N7002.pdf" TargetMode="External"/><Relationship Id="rId_hyperlink_2" Type="http://schemas.openxmlformats.org/officeDocument/2006/relationships/hyperlink" Target="https://www.diodes.com/part/view/2N7002" TargetMode="External"/><Relationship Id="rId_hyperlink_3" Type="http://schemas.openxmlformats.org/officeDocument/2006/relationships/hyperlink" Target="https://www.diodes.com/datasheet/download/2N7002A.pdf" TargetMode="External"/><Relationship Id="rId_hyperlink_4" Type="http://schemas.openxmlformats.org/officeDocument/2006/relationships/hyperlink" Target="https://www.diodes.com/part/view/2N7002A" TargetMode="External"/><Relationship Id="rId_hyperlink_5" Type="http://schemas.openxmlformats.org/officeDocument/2006/relationships/hyperlink" Target="https://www.diodes.com/datasheet/download/2N7002AQ.pdf" TargetMode="External"/><Relationship Id="rId_hyperlink_6" Type="http://schemas.openxmlformats.org/officeDocument/2006/relationships/hyperlink" Target="https://www.diodes.com/part/view/2N7002AQ" TargetMode="External"/><Relationship Id="rId_hyperlink_7" Type="http://schemas.openxmlformats.org/officeDocument/2006/relationships/hyperlink" Target="https://www.diodes.com/datasheet/download/2N7002DW.pdf" TargetMode="External"/><Relationship Id="rId_hyperlink_8" Type="http://schemas.openxmlformats.org/officeDocument/2006/relationships/hyperlink" Target="https://www.diodes.com/part/view/2N7002DW" TargetMode="External"/><Relationship Id="rId_hyperlink_9" Type="http://schemas.openxmlformats.org/officeDocument/2006/relationships/hyperlink" Target="https://www.diodes.com/datasheet/download/2N7002DWK.pdf" TargetMode="External"/><Relationship Id="rId_hyperlink_10" Type="http://schemas.openxmlformats.org/officeDocument/2006/relationships/hyperlink" Target="https://www.diodes.com/part/view/2N7002DWK" TargetMode="External"/><Relationship Id="rId_hyperlink_11" Type="http://schemas.openxmlformats.org/officeDocument/2006/relationships/hyperlink" Target="https://www.diodes.com/datasheet/download/2N7002DWQ.pdf" TargetMode="External"/><Relationship Id="rId_hyperlink_12" Type="http://schemas.openxmlformats.org/officeDocument/2006/relationships/hyperlink" Target="https://www.diodes.com/part/view/2N7002DWQ" TargetMode="External"/><Relationship Id="rId_hyperlink_13" Type="http://schemas.openxmlformats.org/officeDocument/2006/relationships/hyperlink" Target="https://www.diodes.com/datasheet/download/2N7002DWS.pdf" TargetMode="External"/><Relationship Id="rId_hyperlink_14" Type="http://schemas.openxmlformats.org/officeDocument/2006/relationships/hyperlink" Target="https://www.diodes.com/part/view/2N7002DWS" TargetMode="External"/><Relationship Id="rId_hyperlink_15" Type="http://schemas.openxmlformats.org/officeDocument/2006/relationships/hyperlink" Target="https://www.diodes.com/datasheet/download/2N7002E.pdf" TargetMode="External"/><Relationship Id="rId_hyperlink_16" Type="http://schemas.openxmlformats.org/officeDocument/2006/relationships/hyperlink" Target="https://www.diodes.com/part/view/2N7002E" TargetMode="External"/><Relationship Id="rId_hyperlink_17" Type="http://schemas.openxmlformats.org/officeDocument/2006/relationships/hyperlink" Target="https://www.diodes.com/datasheet/download/2N7002EQ.pdf" TargetMode="External"/><Relationship Id="rId_hyperlink_18" Type="http://schemas.openxmlformats.org/officeDocument/2006/relationships/hyperlink" Target="https://www.diodes.com/part/view/2N7002EQ" TargetMode="External"/><Relationship Id="rId_hyperlink_19" Type="http://schemas.openxmlformats.org/officeDocument/2006/relationships/hyperlink" Target="https://www.diodes.com/datasheet/download/2N7002H.pdf" TargetMode="External"/><Relationship Id="rId_hyperlink_20" Type="http://schemas.openxmlformats.org/officeDocument/2006/relationships/hyperlink" Target="https://www.diodes.com/part/view/2N7002H" TargetMode="External"/><Relationship Id="rId_hyperlink_21" Type="http://schemas.openxmlformats.org/officeDocument/2006/relationships/hyperlink" Target="https://www.diodes.com/datasheet/download/2N7002K.pdf" TargetMode="External"/><Relationship Id="rId_hyperlink_22" Type="http://schemas.openxmlformats.org/officeDocument/2006/relationships/hyperlink" Target="https://www.diodes.com/part/view/2N7002K" TargetMode="External"/><Relationship Id="rId_hyperlink_23" Type="http://schemas.openxmlformats.org/officeDocument/2006/relationships/hyperlink" Target="https://www.diodes.com/datasheet/download/2N7002KQ.pdf" TargetMode="External"/><Relationship Id="rId_hyperlink_24" Type="http://schemas.openxmlformats.org/officeDocument/2006/relationships/hyperlink" Target="https://www.diodes.com/part/view/2N7002KQ" TargetMode="External"/><Relationship Id="rId_hyperlink_25" Type="http://schemas.openxmlformats.org/officeDocument/2006/relationships/hyperlink" Target="https://www.diodes.com/datasheet/download/2N7002Q.pdf" TargetMode="External"/><Relationship Id="rId_hyperlink_26" Type="http://schemas.openxmlformats.org/officeDocument/2006/relationships/hyperlink" Target="https://www.diodes.com/part/view/2N7002Q" TargetMode="External"/><Relationship Id="rId_hyperlink_27" Type="http://schemas.openxmlformats.org/officeDocument/2006/relationships/hyperlink" Target="https://www.diodes.com/datasheet/download/2N7002T.pdf" TargetMode="External"/><Relationship Id="rId_hyperlink_28" Type="http://schemas.openxmlformats.org/officeDocument/2006/relationships/hyperlink" Target="https://www.diodes.com/part/view/2N7002T" TargetMode="External"/><Relationship Id="rId_hyperlink_29" Type="http://schemas.openxmlformats.org/officeDocument/2006/relationships/hyperlink" Target="https://www.diodes.com/datasheet/download/2N7002TQ.pdf" TargetMode="External"/><Relationship Id="rId_hyperlink_30" Type="http://schemas.openxmlformats.org/officeDocument/2006/relationships/hyperlink" Target="https://www.diodes.com/part/view/2N7002TQ" TargetMode="External"/><Relationship Id="rId_hyperlink_31" Type="http://schemas.openxmlformats.org/officeDocument/2006/relationships/hyperlink" Target="https://www.diodes.com/datasheet/download/2N7002VAC.pdf" TargetMode="External"/><Relationship Id="rId_hyperlink_32" Type="http://schemas.openxmlformats.org/officeDocument/2006/relationships/hyperlink" Target="https://www.diodes.com/part/view/2N7002VAC" TargetMode="External"/><Relationship Id="rId_hyperlink_33" Type="http://schemas.openxmlformats.org/officeDocument/2006/relationships/hyperlink" Target="https://www.diodes.com/datasheet/download/2N7002VC.pdf" TargetMode="External"/><Relationship Id="rId_hyperlink_34" Type="http://schemas.openxmlformats.org/officeDocument/2006/relationships/hyperlink" Target="https://www.diodes.com/part/view/2N7002VC" TargetMode="External"/><Relationship Id="rId_hyperlink_35" Type="http://schemas.openxmlformats.org/officeDocument/2006/relationships/hyperlink" Target="https://www.diodes.com/datasheet/download/2N7002W.pdf" TargetMode="External"/><Relationship Id="rId_hyperlink_36" Type="http://schemas.openxmlformats.org/officeDocument/2006/relationships/hyperlink" Target="https://www.diodes.com/part/view/2N7002W" TargetMode="External"/><Relationship Id="rId_hyperlink_37" Type="http://schemas.openxmlformats.org/officeDocument/2006/relationships/hyperlink" Target="https://www.diodes.com/datasheet/download/BS107P.pdf" TargetMode="External"/><Relationship Id="rId_hyperlink_38" Type="http://schemas.openxmlformats.org/officeDocument/2006/relationships/hyperlink" Target="https://www.diodes.com/part/view/BS107P" TargetMode="External"/><Relationship Id="rId_hyperlink_39" Type="http://schemas.openxmlformats.org/officeDocument/2006/relationships/hyperlink" Target="https://www.diodes.com/datasheet/download/BS170F.pdf" TargetMode="External"/><Relationship Id="rId_hyperlink_40" Type="http://schemas.openxmlformats.org/officeDocument/2006/relationships/hyperlink" Target="https://www.diodes.com/part/view/BS170F" TargetMode="External"/><Relationship Id="rId_hyperlink_41" Type="http://schemas.openxmlformats.org/officeDocument/2006/relationships/hyperlink" Target="https://www.diodes.com/datasheet/download/BS170P.pdf" TargetMode="External"/><Relationship Id="rId_hyperlink_42" Type="http://schemas.openxmlformats.org/officeDocument/2006/relationships/hyperlink" Target="https://www.diodes.com/part/view/BS170P" TargetMode="External"/><Relationship Id="rId_hyperlink_43" Type="http://schemas.openxmlformats.org/officeDocument/2006/relationships/hyperlink" Target="https://www.diodes.com/datasheet/download/BS250F.pdf" TargetMode="External"/><Relationship Id="rId_hyperlink_44" Type="http://schemas.openxmlformats.org/officeDocument/2006/relationships/hyperlink" Target="https://www.diodes.com/part/view/BS250F" TargetMode="External"/><Relationship Id="rId_hyperlink_45" Type="http://schemas.openxmlformats.org/officeDocument/2006/relationships/hyperlink" Target="https://www.diodes.com/datasheet/download/BS250P.pdf" TargetMode="External"/><Relationship Id="rId_hyperlink_46" Type="http://schemas.openxmlformats.org/officeDocument/2006/relationships/hyperlink" Target="https://www.diodes.com/part/view/BS250P" TargetMode="External"/><Relationship Id="rId_hyperlink_47" Type="http://schemas.openxmlformats.org/officeDocument/2006/relationships/hyperlink" Target="https://www.diodes.com/datasheet/download/BS870.pdf" TargetMode="External"/><Relationship Id="rId_hyperlink_48" Type="http://schemas.openxmlformats.org/officeDocument/2006/relationships/hyperlink" Target="https://www.diodes.com/part/view/BS870" TargetMode="External"/><Relationship Id="rId_hyperlink_49" Type="http://schemas.openxmlformats.org/officeDocument/2006/relationships/hyperlink" Target="https://www.diodes.com/datasheet/download/BS870Q.pdf" TargetMode="External"/><Relationship Id="rId_hyperlink_50" Type="http://schemas.openxmlformats.org/officeDocument/2006/relationships/hyperlink" Target="https://www.diodes.com/part/view/BS870Q" TargetMode="External"/><Relationship Id="rId_hyperlink_51" Type="http://schemas.openxmlformats.org/officeDocument/2006/relationships/hyperlink" Target="https://www.diodes.com/datasheet/download/BSN20.pdf" TargetMode="External"/><Relationship Id="rId_hyperlink_52" Type="http://schemas.openxmlformats.org/officeDocument/2006/relationships/hyperlink" Target="https://www.diodes.com/part/view/BSN20" TargetMode="External"/><Relationship Id="rId_hyperlink_53" Type="http://schemas.openxmlformats.org/officeDocument/2006/relationships/hyperlink" Target="https://www.diodes.com/datasheet/download/BSS123.pdf" TargetMode="External"/><Relationship Id="rId_hyperlink_54" Type="http://schemas.openxmlformats.org/officeDocument/2006/relationships/hyperlink" Target="https://www.diodes.com/part/view/BSS123" TargetMode="External"/><Relationship Id="rId_hyperlink_55" Type="http://schemas.openxmlformats.org/officeDocument/2006/relationships/hyperlink" Target="https://www.diodes.com/datasheet/download/BSS123%28Z%29.pdf" TargetMode="External"/><Relationship Id="rId_hyperlink_56" Type="http://schemas.openxmlformats.org/officeDocument/2006/relationships/hyperlink" Target="https://www.diodes.com/part/view/BSS123%28Z%29" TargetMode="External"/><Relationship Id="rId_hyperlink_57" Type="http://schemas.openxmlformats.org/officeDocument/2006/relationships/hyperlink" Target="https://www.diodes.com/datasheet/download/BSS123K.pdf" TargetMode="External"/><Relationship Id="rId_hyperlink_58" Type="http://schemas.openxmlformats.org/officeDocument/2006/relationships/hyperlink" Target="https://www.diodes.com/part/view/BSS123K" TargetMode="External"/><Relationship Id="rId_hyperlink_59" Type="http://schemas.openxmlformats.org/officeDocument/2006/relationships/hyperlink" Target="https://www.diodes.com/datasheet/download/BSS123Q.pdf" TargetMode="External"/><Relationship Id="rId_hyperlink_60" Type="http://schemas.openxmlformats.org/officeDocument/2006/relationships/hyperlink" Target="https://www.diodes.com/part/view/BSS123Q" TargetMode="External"/><Relationship Id="rId_hyperlink_61" Type="http://schemas.openxmlformats.org/officeDocument/2006/relationships/hyperlink" Target="https://www.diodes.com/datasheet/download/BSS123W.pdf" TargetMode="External"/><Relationship Id="rId_hyperlink_62" Type="http://schemas.openxmlformats.org/officeDocument/2006/relationships/hyperlink" Target="https://www.diodes.com/part/view/BSS123W" TargetMode="External"/><Relationship Id="rId_hyperlink_63" Type="http://schemas.openxmlformats.org/officeDocument/2006/relationships/hyperlink" Target="https://www.diodes.com/datasheet/download/BSS123WQ.pdf" TargetMode="External"/><Relationship Id="rId_hyperlink_64" Type="http://schemas.openxmlformats.org/officeDocument/2006/relationships/hyperlink" Target="https://www.diodes.com/part/view/BSS123WQ" TargetMode="External"/><Relationship Id="rId_hyperlink_65" Type="http://schemas.openxmlformats.org/officeDocument/2006/relationships/hyperlink" Target="https://www.diodes.com/datasheet/download/BSS127S.pdf" TargetMode="External"/><Relationship Id="rId_hyperlink_66" Type="http://schemas.openxmlformats.org/officeDocument/2006/relationships/hyperlink" Target="https://www.diodes.com/part/view/BSS127S" TargetMode="External"/><Relationship Id="rId_hyperlink_67" Type="http://schemas.openxmlformats.org/officeDocument/2006/relationships/hyperlink" Target="https://www.diodes.com/datasheet/download/BSS127SSN.pdf" TargetMode="External"/><Relationship Id="rId_hyperlink_68" Type="http://schemas.openxmlformats.org/officeDocument/2006/relationships/hyperlink" Target="https://www.diodes.com/part/view/BSS127SSN" TargetMode="External"/><Relationship Id="rId_hyperlink_69" Type="http://schemas.openxmlformats.org/officeDocument/2006/relationships/hyperlink" Target="https://www.diodes.com/datasheet/download/BSS138.pdf" TargetMode="External"/><Relationship Id="rId_hyperlink_70" Type="http://schemas.openxmlformats.org/officeDocument/2006/relationships/hyperlink" Target="https://www.diodes.com/part/view/BSS138" TargetMode="External"/><Relationship Id="rId_hyperlink_71" Type="http://schemas.openxmlformats.org/officeDocument/2006/relationships/hyperlink" Target="https://www.diodes.com/datasheet/download/BSS138DW.pdf" TargetMode="External"/><Relationship Id="rId_hyperlink_72" Type="http://schemas.openxmlformats.org/officeDocument/2006/relationships/hyperlink" Target="https://www.diodes.com/part/view/BSS138DW" TargetMode="External"/><Relationship Id="rId_hyperlink_73" Type="http://schemas.openxmlformats.org/officeDocument/2006/relationships/hyperlink" Target="https://www.diodes.com/datasheet/download/BSS138DWK.pdf" TargetMode="External"/><Relationship Id="rId_hyperlink_74" Type="http://schemas.openxmlformats.org/officeDocument/2006/relationships/hyperlink" Target="https://www.diodes.com/part/view/BSS138DWK" TargetMode="External"/><Relationship Id="rId_hyperlink_75" Type="http://schemas.openxmlformats.org/officeDocument/2006/relationships/hyperlink" Target="https://www.diodes.com/datasheet/download/BSS138DWQ.pdf" TargetMode="External"/><Relationship Id="rId_hyperlink_76" Type="http://schemas.openxmlformats.org/officeDocument/2006/relationships/hyperlink" Target="https://www.diodes.com/part/view/BSS138DWQ" TargetMode="External"/><Relationship Id="rId_hyperlink_77" Type="http://schemas.openxmlformats.org/officeDocument/2006/relationships/hyperlink" Target="https://www.diodes.com/datasheet/download/BSS138K.pdf" TargetMode="External"/><Relationship Id="rId_hyperlink_78" Type="http://schemas.openxmlformats.org/officeDocument/2006/relationships/hyperlink" Target="https://www.diodes.com/part/view/BSS138K" TargetMode="External"/><Relationship Id="rId_hyperlink_79" Type="http://schemas.openxmlformats.org/officeDocument/2006/relationships/hyperlink" Target="https://www.diodes.com/datasheet/download/BSS138Q.pdf" TargetMode="External"/><Relationship Id="rId_hyperlink_80" Type="http://schemas.openxmlformats.org/officeDocument/2006/relationships/hyperlink" Target="https://www.diodes.com/part/view/BSS138Q" TargetMode="External"/><Relationship Id="rId_hyperlink_81" Type="http://schemas.openxmlformats.org/officeDocument/2006/relationships/hyperlink" Target="https://www.diodes.com/datasheet/download/BSS138W.pdf" TargetMode="External"/><Relationship Id="rId_hyperlink_82" Type="http://schemas.openxmlformats.org/officeDocument/2006/relationships/hyperlink" Target="https://www.diodes.com/part/view/BSS138W" TargetMode="External"/><Relationship Id="rId_hyperlink_83" Type="http://schemas.openxmlformats.org/officeDocument/2006/relationships/hyperlink" Target="https://www.diodes.com/datasheet/download/BSS138WQ.pdf" TargetMode="External"/><Relationship Id="rId_hyperlink_84" Type="http://schemas.openxmlformats.org/officeDocument/2006/relationships/hyperlink" Target="https://www.diodes.com/part/view/BSS138WQ" TargetMode="External"/><Relationship Id="rId_hyperlink_85" Type="http://schemas.openxmlformats.org/officeDocument/2006/relationships/hyperlink" Target="https://www.diodes.com/datasheet/download/BSS84.pdf" TargetMode="External"/><Relationship Id="rId_hyperlink_86" Type="http://schemas.openxmlformats.org/officeDocument/2006/relationships/hyperlink" Target="https://www.diodes.com/part/view/BSS84" TargetMode="External"/><Relationship Id="rId_hyperlink_87" Type="http://schemas.openxmlformats.org/officeDocument/2006/relationships/hyperlink" Target="https://www.diodes.com/datasheet/download/BSS8402DW.pdf" TargetMode="External"/><Relationship Id="rId_hyperlink_88" Type="http://schemas.openxmlformats.org/officeDocument/2006/relationships/hyperlink" Target="https://www.diodes.com/part/view/BSS8402DW" TargetMode="External"/><Relationship Id="rId_hyperlink_89" Type="http://schemas.openxmlformats.org/officeDocument/2006/relationships/hyperlink" Target="https://www.diodes.com/datasheet/download/BSS84DW.pdf" TargetMode="External"/><Relationship Id="rId_hyperlink_90" Type="http://schemas.openxmlformats.org/officeDocument/2006/relationships/hyperlink" Target="https://www.diodes.com/part/view/BSS84DW" TargetMode="External"/><Relationship Id="rId_hyperlink_91" Type="http://schemas.openxmlformats.org/officeDocument/2006/relationships/hyperlink" Target="https://www.diodes.com/datasheet/download/BSS84DWQ.pdf" TargetMode="External"/><Relationship Id="rId_hyperlink_92" Type="http://schemas.openxmlformats.org/officeDocument/2006/relationships/hyperlink" Target="https://www.diodes.com/part/view/BSS84DWQ" TargetMode="External"/><Relationship Id="rId_hyperlink_93" Type="http://schemas.openxmlformats.org/officeDocument/2006/relationships/hyperlink" Target="https://www.diodes.com/datasheet/download/BSS84Q.pdf" TargetMode="External"/><Relationship Id="rId_hyperlink_94" Type="http://schemas.openxmlformats.org/officeDocument/2006/relationships/hyperlink" Target="https://www.diodes.com/part/view/BSS84Q" TargetMode="External"/><Relationship Id="rId_hyperlink_95" Type="http://schemas.openxmlformats.org/officeDocument/2006/relationships/hyperlink" Target="https://www.diodes.com/datasheet/download/BSS84W.pdf" TargetMode="External"/><Relationship Id="rId_hyperlink_96" Type="http://schemas.openxmlformats.org/officeDocument/2006/relationships/hyperlink" Target="https://www.diodes.com/part/view/BSS84W" TargetMode="External"/><Relationship Id="rId_hyperlink_97" Type="http://schemas.openxmlformats.org/officeDocument/2006/relationships/hyperlink" Target="https://www.diodes.com/datasheet/download/BSS84WQ.pdf" TargetMode="External"/><Relationship Id="rId_hyperlink_98" Type="http://schemas.openxmlformats.org/officeDocument/2006/relationships/hyperlink" Target="https://www.diodes.com/part/view/BSS84WQ" TargetMode="External"/><Relationship Id="rId_hyperlink_99" Type="http://schemas.openxmlformats.org/officeDocument/2006/relationships/hyperlink" Target="https://www.diodes.com/datasheet/download/DMC1015UPD.pdf" TargetMode="External"/><Relationship Id="rId_hyperlink_100" Type="http://schemas.openxmlformats.org/officeDocument/2006/relationships/hyperlink" Target="https://www.diodes.com/part/view/DMC1015UPD" TargetMode="External"/><Relationship Id="rId_hyperlink_101" Type="http://schemas.openxmlformats.org/officeDocument/2006/relationships/hyperlink" Target="https://www.diodes.com/datasheet/download/DMC1016UPD.pdf" TargetMode="External"/><Relationship Id="rId_hyperlink_102" Type="http://schemas.openxmlformats.org/officeDocument/2006/relationships/hyperlink" Target="https://www.diodes.com/part/view/DMC1016UPD" TargetMode="External"/><Relationship Id="rId_hyperlink_103" Type="http://schemas.openxmlformats.org/officeDocument/2006/relationships/hyperlink" Target="https://www.diodes.com/datasheet/download/DMC1018UPD.pdf" TargetMode="External"/><Relationship Id="rId_hyperlink_104" Type="http://schemas.openxmlformats.org/officeDocument/2006/relationships/hyperlink" Target="https://www.diodes.com/part/view/DMC1018UPD" TargetMode="External"/><Relationship Id="rId_hyperlink_105" Type="http://schemas.openxmlformats.org/officeDocument/2006/relationships/hyperlink" Target="https://www.diodes.com/datasheet/download/DMC1018UPDWQ.pdf" TargetMode="External"/><Relationship Id="rId_hyperlink_106" Type="http://schemas.openxmlformats.org/officeDocument/2006/relationships/hyperlink" Target="https://www.diodes.com/part/view/DMC1018UPDWQ" TargetMode="External"/><Relationship Id="rId_hyperlink_107" Type="http://schemas.openxmlformats.org/officeDocument/2006/relationships/hyperlink" Target="https://www.diodes.com/datasheet/download/DMC1028UFDB.pdf" TargetMode="External"/><Relationship Id="rId_hyperlink_108" Type="http://schemas.openxmlformats.org/officeDocument/2006/relationships/hyperlink" Target="https://www.diodes.com/part/view/DMC1028UFDB" TargetMode="External"/><Relationship Id="rId_hyperlink_109" Type="http://schemas.openxmlformats.org/officeDocument/2006/relationships/hyperlink" Target="https://www.diodes.com/datasheet/download/DMC1028UVT.pdf" TargetMode="External"/><Relationship Id="rId_hyperlink_110" Type="http://schemas.openxmlformats.org/officeDocument/2006/relationships/hyperlink" Target="https://www.diodes.com/part/view/DMC1028UVT" TargetMode="External"/><Relationship Id="rId_hyperlink_111" Type="http://schemas.openxmlformats.org/officeDocument/2006/relationships/hyperlink" Target="https://www.diodes.com/datasheet/download/DMC1029UFDB.pdf" TargetMode="External"/><Relationship Id="rId_hyperlink_112" Type="http://schemas.openxmlformats.org/officeDocument/2006/relationships/hyperlink" Target="https://www.diodes.com/part/view/DMC1029UFDB" TargetMode="External"/><Relationship Id="rId_hyperlink_113" Type="http://schemas.openxmlformats.org/officeDocument/2006/relationships/hyperlink" Target="https://www.diodes.com/datasheet/download/DMC1030UFDB.pdf" TargetMode="External"/><Relationship Id="rId_hyperlink_114" Type="http://schemas.openxmlformats.org/officeDocument/2006/relationships/hyperlink" Target="https://www.diodes.com/part/view/DMC1030UFDB" TargetMode="External"/><Relationship Id="rId_hyperlink_115" Type="http://schemas.openxmlformats.org/officeDocument/2006/relationships/hyperlink" Target="https://www.diodes.com/datasheet/download/DMC10H172SSD.pdf" TargetMode="External"/><Relationship Id="rId_hyperlink_116" Type="http://schemas.openxmlformats.org/officeDocument/2006/relationships/hyperlink" Target="https://www.diodes.com/part/view/DMC10H172SSD" TargetMode="External"/><Relationship Id="rId_hyperlink_117" Type="http://schemas.openxmlformats.org/officeDocument/2006/relationships/hyperlink" Target="https://www.diodes.com/datasheet/download/DMC10H220LSD.pdf" TargetMode="External"/><Relationship Id="rId_hyperlink_118" Type="http://schemas.openxmlformats.org/officeDocument/2006/relationships/hyperlink" Target="https://www.diodes.com/part/view/DMC10H220LSD" TargetMode="External"/><Relationship Id="rId_hyperlink_119" Type="http://schemas.openxmlformats.org/officeDocument/2006/relationships/hyperlink" Target="https://www.diodes.com/datasheet/download/DMC1229UFDB.pdf" TargetMode="External"/><Relationship Id="rId_hyperlink_120" Type="http://schemas.openxmlformats.org/officeDocument/2006/relationships/hyperlink" Target="https://www.diodes.com/part/view/DMC1229UFDB" TargetMode="External"/><Relationship Id="rId_hyperlink_121" Type="http://schemas.openxmlformats.org/officeDocument/2006/relationships/hyperlink" Target="https://www.diodes.com/datasheet/download/DMC2004DWK.pdf" TargetMode="External"/><Relationship Id="rId_hyperlink_122" Type="http://schemas.openxmlformats.org/officeDocument/2006/relationships/hyperlink" Target="https://www.diodes.com/part/view/DMC2004DWK" TargetMode="External"/><Relationship Id="rId_hyperlink_123" Type="http://schemas.openxmlformats.org/officeDocument/2006/relationships/hyperlink" Target="https://www.diodes.com/datasheet/download/DMC2004LPK.pdf" TargetMode="External"/><Relationship Id="rId_hyperlink_124" Type="http://schemas.openxmlformats.org/officeDocument/2006/relationships/hyperlink" Target="https://www.diodes.com/part/view/DMC2004LPK" TargetMode="External"/><Relationship Id="rId_hyperlink_125" Type="http://schemas.openxmlformats.org/officeDocument/2006/relationships/hyperlink" Target="https://www.diodes.com/datasheet/download/DMC2020USD.pdf" TargetMode="External"/><Relationship Id="rId_hyperlink_126" Type="http://schemas.openxmlformats.org/officeDocument/2006/relationships/hyperlink" Target="https://www.diodes.com/part/view/DMC2020USD" TargetMode="External"/><Relationship Id="rId_hyperlink_127" Type="http://schemas.openxmlformats.org/officeDocument/2006/relationships/hyperlink" Target="https://www.diodes.com/datasheet/download/DMC2025UFDB.pdf" TargetMode="External"/><Relationship Id="rId_hyperlink_128" Type="http://schemas.openxmlformats.org/officeDocument/2006/relationships/hyperlink" Target="https://www.diodes.com/part/view/DMC2025UFDB" TargetMode="External"/><Relationship Id="rId_hyperlink_129" Type="http://schemas.openxmlformats.org/officeDocument/2006/relationships/hyperlink" Target="https://www.diodes.com/datasheet/download/DMC2025UFDBQ+.pdf" TargetMode="External"/><Relationship Id="rId_hyperlink_130" Type="http://schemas.openxmlformats.org/officeDocument/2006/relationships/hyperlink" Target="https://www.diodes.com/part/view/DMC2025UFDBQ" TargetMode="External"/><Relationship Id="rId_hyperlink_131" Type="http://schemas.openxmlformats.org/officeDocument/2006/relationships/hyperlink" Target="https://www.diodes.com/datasheet/download/DMC2041UFDB.pdf" TargetMode="External"/><Relationship Id="rId_hyperlink_132" Type="http://schemas.openxmlformats.org/officeDocument/2006/relationships/hyperlink" Target="https://www.diodes.com/part/view/DMC2041UFDB" TargetMode="External"/><Relationship Id="rId_hyperlink_133" Type="http://schemas.openxmlformats.org/officeDocument/2006/relationships/hyperlink" Target="https://www.diodes.com/datasheet/download/DMC2053UFDB.pdf" TargetMode="External"/><Relationship Id="rId_hyperlink_134" Type="http://schemas.openxmlformats.org/officeDocument/2006/relationships/hyperlink" Target="https://www.diodes.com/part/view/DMC2053UFDB" TargetMode="External"/><Relationship Id="rId_hyperlink_135" Type="http://schemas.openxmlformats.org/officeDocument/2006/relationships/hyperlink" Target="https://www.diodes.com/datasheet/download/DMC2053UFDBQ.pdf" TargetMode="External"/><Relationship Id="rId_hyperlink_136" Type="http://schemas.openxmlformats.org/officeDocument/2006/relationships/hyperlink" Target="https://www.diodes.com/part/view/DMC2053UFDBQ" TargetMode="External"/><Relationship Id="rId_hyperlink_137" Type="http://schemas.openxmlformats.org/officeDocument/2006/relationships/hyperlink" Target="https://www.diodes.com/datasheet/download/DMC2053UVT.pdf" TargetMode="External"/><Relationship Id="rId_hyperlink_138" Type="http://schemas.openxmlformats.org/officeDocument/2006/relationships/hyperlink" Target="https://www.diodes.com/part/view/DMC2053UVT" TargetMode="External"/><Relationship Id="rId_hyperlink_139" Type="http://schemas.openxmlformats.org/officeDocument/2006/relationships/hyperlink" Target="https://www.diodes.com/datasheet/download/DMC2053UVTQ.pdf" TargetMode="External"/><Relationship Id="rId_hyperlink_140" Type="http://schemas.openxmlformats.org/officeDocument/2006/relationships/hyperlink" Target="https://www.diodes.com/part/view/DMC2053UVTQ" TargetMode="External"/><Relationship Id="rId_hyperlink_141" Type="http://schemas.openxmlformats.org/officeDocument/2006/relationships/hyperlink" Target="https://www.diodes.com/datasheet/download/DMC2057UVT.pdf" TargetMode="External"/><Relationship Id="rId_hyperlink_142" Type="http://schemas.openxmlformats.org/officeDocument/2006/relationships/hyperlink" Target="https://www.diodes.com/part/view/DMC2057UVT" TargetMode="External"/><Relationship Id="rId_hyperlink_143" Type="http://schemas.openxmlformats.org/officeDocument/2006/relationships/hyperlink" Target="https://www.diodes.com/datasheet/download/DMC21D1UDA.pdf" TargetMode="External"/><Relationship Id="rId_hyperlink_144" Type="http://schemas.openxmlformats.org/officeDocument/2006/relationships/hyperlink" Target="https://www.diodes.com/part/view/DMC21D1UDA" TargetMode="External"/><Relationship Id="rId_hyperlink_145" Type="http://schemas.openxmlformats.org/officeDocument/2006/relationships/hyperlink" Target="https://www.diodes.com/datasheet/download/DMC2400UV.pdf" TargetMode="External"/><Relationship Id="rId_hyperlink_146" Type="http://schemas.openxmlformats.org/officeDocument/2006/relationships/hyperlink" Target="https://www.diodes.com/part/view/DMC2400UV" TargetMode="External"/><Relationship Id="rId_hyperlink_147" Type="http://schemas.openxmlformats.org/officeDocument/2006/relationships/hyperlink" Target="https://www.diodes.com/datasheet/download/DMC2400UVQ.pdf" TargetMode="External"/><Relationship Id="rId_hyperlink_148" Type="http://schemas.openxmlformats.org/officeDocument/2006/relationships/hyperlink" Target="https://www.diodes.com/part/view/DMC2400UVQ" TargetMode="External"/><Relationship Id="rId_hyperlink_149" Type="http://schemas.openxmlformats.org/officeDocument/2006/relationships/hyperlink" Target="https://www.diodes.com/datasheet/download/DMC2450UV.pdf" TargetMode="External"/><Relationship Id="rId_hyperlink_150" Type="http://schemas.openxmlformats.org/officeDocument/2006/relationships/hyperlink" Target="https://www.diodes.com/part/view/DMC2450UV" TargetMode="External"/><Relationship Id="rId_hyperlink_151" Type="http://schemas.openxmlformats.org/officeDocument/2006/relationships/hyperlink" Target="https://www.diodes.com/datasheet/download/DMC25D0UVT.pdf" TargetMode="External"/><Relationship Id="rId_hyperlink_152" Type="http://schemas.openxmlformats.org/officeDocument/2006/relationships/hyperlink" Target="https://www.diodes.com/part/view/DMC25D0UVT" TargetMode="External"/><Relationship Id="rId_hyperlink_153" Type="http://schemas.openxmlformats.org/officeDocument/2006/relationships/hyperlink" Target="https://www.diodes.com/datasheet/download/DMC25D1UVT.pdf" TargetMode="External"/><Relationship Id="rId_hyperlink_154" Type="http://schemas.openxmlformats.org/officeDocument/2006/relationships/hyperlink" Target="https://www.diodes.com/part/view/DMC25D1UVT" TargetMode="External"/><Relationship Id="rId_hyperlink_155" Type="http://schemas.openxmlformats.org/officeDocument/2006/relationships/hyperlink" Target="https://www.diodes.com/datasheet/download/DMC2700UDM.pdf" TargetMode="External"/><Relationship Id="rId_hyperlink_156" Type="http://schemas.openxmlformats.org/officeDocument/2006/relationships/hyperlink" Target="https://www.diodes.com/part/view/DMC2700UDM" TargetMode="External"/><Relationship Id="rId_hyperlink_157" Type="http://schemas.openxmlformats.org/officeDocument/2006/relationships/hyperlink" Target="https://www.diodes.com/datasheet/download/DMC2710UDW+.pdf" TargetMode="External"/><Relationship Id="rId_hyperlink_158" Type="http://schemas.openxmlformats.org/officeDocument/2006/relationships/hyperlink" Target="https://www.diodes.com/part/view/DMC2710UDW" TargetMode="External"/><Relationship Id="rId_hyperlink_159" Type="http://schemas.openxmlformats.org/officeDocument/2006/relationships/hyperlink" Target="https://www.diodes.com/datasheet/download/DMC2710UDWQ.pdf" TargetMode="External"/><Relationship Id="rId_hyperlink_160" Type="http://schemas.openxmlformats.org/officeDocument/2006/relationships/hyperlink" Target="https://www.diodes.com/part/view/DMC2710UDWQ" TargetMode="External"/><Relationship Id="rId_hyperlink_161" Type="http://schemas.openxmlformats.org/officeDocument/2006/relationships/hyperlink" Target="https://www.diodes.com/datasheet/download/DMC2710UV.pdf" TargetMode="External"/><Relationship Id="rId_hyperlink_162" Type="http://schemas.openxmlformats.org/officeDocument/2006/relationships/hyperlink" Target="https://www.diodes.com/part/view/DMC2710UV" TargetMode="External"/><Relationship Id="rId_hyperlink_163" Type="http://schemas.openxmlformats.org/officeDocument/2006/relationships/hyperlink" Target="https://www.diodes.com/datasheet/download/DMC2710UVQ.pdf" TargetMode="External"/><Relationship Id="rId_hyperlink_164" Type="http://schemas.openxmlformats.org/officeDocument/2006/relationships/hyperlink" Target="https://www.diodes.com/part/view/DMC2710UVQ" TargetMode="External"/><Relationship Id="rId_hyperlink_165" Type="http://schemas.openxmlformats.org/officeDocument/2006/relationships/hyperlink" Target="https://www.diodes.com/datasheet/download/DMC2710UVT.pdf" TargetMode="External"/><Relationship Id="rId_hyperlink_166" Type="http://schemas.openxmlformats.org/officeDocument/2006/relationships/hyperlink" Target="https://www.diodes.com/part/view/DMC2710UVT" TargetMode="External"/><Relationship Id="rId_hyperlink_167" Type="http://schemas.openxmlformats.org/officeDocument/2006/relationships/hyperlink" Target="https://www.diodes.com/datasheet/download/DMC2990UDJ.pdf" TargetMode="External"/><Relationship Id="rId_hyperlink_168" Type="http://schemas.openxmlformats.org/officeDocument/2006/relationships/hyperlink" Target="https://www.diodes.com/part/view/DMC2990UDJ" TargetMode="External"/><Relationship Id="rId_hyperlink_169" Type="http://schemas.openxmlformats.org/officeDocument/2006/relationships/hyperlink" Target="https://www.diodes.com/datasheet/download/DMC2990UDJQ.pdf" TargetMode="External"/><Relationship Id="rId_hyperlink_170" Type="http://schemas.openxmlformats.org/officeDocument/2006/relationships/hyperlink" Target="https://www.diodes.com/part/view/DMC2990UDJQ" TargetMode="External"/><Relationship Id="rId_hyperlink_171" Type="http://schemas.openxmlformats.org/officeDocument/2006/relationships/hyperlink" Target="https://www.diodes.com/datasheet/download/DMC2991UDA.pdf" TargetMode="External"/><Relationship Id="rId_hyperlink_172" Type="http://schemas.openxmlformats.org/officeDocument/2006/relationships/hyperlink" Target="https://www.diodes.com/part/view/DMC2991UDA" TargetMode="External"/><Relationship Id="rId_hyperlink_173" Type="http://schemas.openxmlformats.org/officeDocument/2006/relationships/hyperlink" Target="https://www.diodes.com/datasheet/download/DMC2991UDJ.pdf" TargetMode="External"/><Relationship Id="rId_hyperlink_174" Type="http://schemas.openxmlformats.org/officeDocument/2006/relationships/hyperlink" Target="https://www.diodes.com/part/view/DMC2991UDJ" TargetMode="External"/><Relationship Id="rId_hyperlink_175" Type="http://schemas.openxmlformats.org/officeDocument/2006/relationships/hyperlink" Target="https://www.diodes.com/datasheet/download/DMC2991UDR4.pdf" TargetMode="External"/><Relationship Id="rId_hyperlink_176" Type="http://schemas.openxmlformats.org/officeDocument/2006/relationships/hyperlink" Target="https://www.diodes.com/part/view/DMC2991UDR4" TargetMode="External"/><Relationship Id="rId_hyperlink_177" Type="http://schemas.openxmlformats.org/officeDocument/2006/relationships/hyperlink" Target="https://www.diodes.com/datasheet/download/DMC3016LDV.pdf" TargetMode="External"/><Relationship Id="rId_hyperlink_178" Type="http://schemas.openxmlformats.org/officeDocument/2006/relationships/hyperlink" Target="https://www.diodes.com/part/view/DMC3016LDV" TargetMode="External"/><Relationship Id="rId_hyperlink_179" Type="http://schemas.openxmlformats.org/officeDocument/2006/relationships/hyperlink" Target="https://www.diodes.com/datasheet/download/DMC3016LNS.pdf" TargetMode="External"/><Relationship Id="rId_hyperlink_180" Type="http://schemas.openxmlformats.org/officeDocument/2006/relationships/hyperlink" Target="https://www.diodes.com/part/view/DMC3016LNS" TargetMode="External"/><Relationship Id="rId_hyperlink_181" Type="http://schemas.openxmlformats.org/officeDocument/2006/relationships/hyperlink" Target="https://www.diodes.com/datasheet/download/DMC3016LSD.pdf" TargetMode="External"/><Relationship Id="rId_hyperlink_182" Type="http://schemas.openxmlformats.org/officeDocument/2006/relationships/hyperlink" Target="https://www.diodes.com/part/view/DMC3016LSD" TargetMode="External"/><Relationship Id="rId_hyperlink_183" Type="http://schemas.openxmlformats.org/officeDocument/2006/relationships/hyperlink" Target="https://www.diodes.com/datasheet/download/DMC3020UDVW.pdf" TargetMode="External"/><Relationship Id="rId_hyperlink_184" Type="http://schemas.openxmlformats.org/officeDocument/2006/relationships/hyperlink" Target="https://www.diodes.com/part/view/DMC3020UDVW" TargetMode="External"/><Relationship Id="rId_hyperlink_185" Type="http://schemas.openxmlformats.org/officeDocument/2006/relationships/hyperlink" Target="https://www.diodes.com/datasheet/download/DMC3021LSD.pdf" TargetMode="External"/><Relationship Id="rId_hyperlink_186" Type="http://schemas.openxmlformats.org/officeDocument/2006/relationships/hyperlink" Target="https://www.diodes.com/part/view/DMC3021LSD" TargetMode="External"/><Relationship Id="rId_hyperlink_187" Type="http://schemas.openxmlformats.org/officeDocument/2006/relationships/hyperlink" Target="https://www.diodes.com/datasheet/download/DMC3021LSDQ.pdf" TargetMode="External"/><Relationship Id="rId_hyperlink_188" Type="http://schemas.openxmlformats.org/officeDocument/2006/relationships/hyperlink" Target="https://www.diodes.com/part/view/DMC3021LSDQ" TargetMode="External"/><Relationship Id="rId_hyperlink_189" Type="http://schemas.openxmlformats.org/officeDocument/2006/relationships/hyperlink" Target="https://www.diodes.com/datasheet/download/DMC3025LDV.pdf" TargetMode="External"/><Relationship Id="rId_hyperlink_190" Type="http://schemas.openxmlformats.org/officeDocument/2006/relationships/hyperlink" Target="https://www.diodes.com/part/view/DMC3025LDV" TargetMode="External"/><Relationship Id="rId_hyperlink_191" Type="http://schemas.openxmlformats.org/officeDocument/2006/relationships/hyperlink" Target="https://www.diodes.com/datasheet/download/DMC3025LNS.pdf" TargetMode="External"/><Relationship Id="rId_hyperlink_192" Type="http://schemas.openxmlformats.org/officeDocument/2006/relationships/hyperlink" Target="https://www.diodes.com/part/view/DMC3025LNS" TargetMode="External"/><Relationship Id="rId_hyperlink_193" Type="http://schemas.openxmlformats.org/officeDocument/2006/relationships/hyperlink" Target="https://www.diodes.com/datasheet/download/DMC3025LSD.pdf" TargetMode="External"/><Relationship Id="rId_hyperlink_194" Type="http://schemas.openxmlformats.org/officeDocument/2006/relationships/hyperlink" Target="https://www.diodes.com/part/view/DMC3025LSD" TargetMode="External"/><Relationship Id="rId_hyperlink_195" Type="http://schemas.openxmlformats.org/officeDocument/2006/relationships/hyperlink" Target="https://www.diodes.com/datasheet/download/DMC3025LSDQ.pdf" TargetMode="External"/><Relationship Id="rId_hyperlink_196" Type="http://schemas.openxmlformats.org/officeDocument/2006/relationships/hyperlink" Target="https://www.diodes.com/part/view/DMC3025LSDQ" TargetMode="External"/><Relationship Id="rId_hyperlink_197" Type="http://schemas.openxmlformats.org/officeDocument/2006/relationships/hyperlink" Target="https://www.diodes.com/datasheet/download/DMC3026LSD.pdf" TargetMode="External"/><Relationship Id="rId_hyperlink_198" Type="http://schemas.openxmlformats.org/officeDocument/2006/relationships/hyperlink" Target="https://www.diodes.com/part/view/DMC3026LSD" TargetMode="External"/><Relationship Id="rId_hyperlink_199" Type="http://schemas.openxmlformats.org/officeDocument/2006/relationships/hyperlink" Target="https://www.diodes.com/datasheet/download/DMC3028LSD.pdf" TargetMode="External"/><Relationship Id="rId_hyperlink_200" Type="http://schemas.openxmlformats.org/officeDocument/2006/relationships/hyperlink" Target="https://www.diodes.com/part/view/DMC3028LSD" TargetMode="External"/><Relationship Id="rId_hyperlink_201" Type="http://schemas.openxmlformats.org/officeDocument/2006/relationships/hyperlink" Target="https://www.diodes.com/datasheet/download/DMC3028LSDX.pdf" TargetMode="External"/><Relationship Id="rId_hyperlink_202" Type="http://schemas.openxmlformats.org/officeDocument/2006/relationships/hyperlink" Target="https://www.diodes.com/part/view/DMC3028LSDX" TargetMode="External"/><Relationship Id="rId_hyperlink_203" Type="http://schemas.openxmlformats.org/officeDocument/2006/relationships/hyperlink" Target="https://www.diodes.com/datasheet/download/DMC3028LSDXQ.pdf" TargetMode="External"/><Relationship Id="rId_hyperlink_204" Type="http://schemas.openxmlformats.org/officeDocument/2006/relationships/hyperlink" Target="https://www.diodes.com/part/view/DMC3028LSDXQ" TargetMode="External"/><Relationship Id="rId_hyperlink_205" Type="http://schemas.openxmlformats.org/officeDocument/2006/relationships/hyperlink" Target="https://www.diodes.com/datasheet/download/DMC3032LFDB.pdf" TargetMode="External"/><Relationship Id="rId_hyperlink_206" Type="http://schemas.openxmlformats.org/officeDocument/2006/relationships/hyperlink" Target="https://www.diodes.com/part/view/DMC3032LFDB" TargetMode="External"/><Relationship Id="rId_hyperlink_207" Type="http://schemas.openxmlformats.org/officeDocument/2006/relationships/hyperlink" Target="https://www.diodes.com/datasheet/download/DMC3032LSD.pdf" TargetMode="External"/><Relationship Id="rId_hyperlink_208" Type="http://schemas.openxmlformats.org/officeDocument/2006/relationships/hyperlink" Target="https://www.diodes.com/part/view/DMC3032LSD" TargetMode="External"/><Relationship Id="rId_hyperlink_209" Type="http://schemas.openxmlformats.org/officeDocument/2006/relationships/hyperlink" Target="https://www.diodes.com/datasheet/download/DMC3060LVT.pdf" TargetMode="External"/><Relationship Id="rId_hyperlink_210" Type="http://schemas.openxmlformats.org/officeDocument/2006/relationships/hyperlink" Target="https://www.diodes.com/part/view/DMC3060LVT" TargetMode="External"/><Relationship Id="rId_hyperlink_211" Type="http://schemas.openxmlformats.org/officeDocument/2006/relationships/hyperlink" Target="https://www.diodes.com/datasheet/download/DMC3060LVTQ.pdf" TargetMode="External"/><Relationship Id="rId_hyperlink_212" Type="http://schemas.openxmlformats.org/officeDocument/2006/relationships/hyperlink" Target="https://www.diodes.com/part/view/DMC3060LVTQ" TargetMode="External"/><Relationship Id="rId_hyperlink_213" Type="http://schemas.openxmlformats.org/officeDocument/2006/relationships/hyperlink" Target="https://www.diodes.com/datasheet/download/DMC3061SVTQ.pdf" TargetMode="External"/><Relationship Id="rId_hyperlink_214" Type="http://schemas.openxmlformats.org/officeDocument/2006/relationships/hyperlink" Target="https://www.diodes.com/part/view/DMC3061SVTQ" TargetMode="External"/><Relationship Id="rId_hyperlink_215" Type="http://schemas.openxmlformats.org/officeDocument/2006/relationships/hyperlink" Target="https://www.diodes.com/datasheet/download/DMC3071LVT.pdf" TargetMode="External"/><Relationship Id="rId_hyperlink_216" Type="http://schemas.openxmlformats.org/officeDocument/2006/relationships/hyperlink" Target="https://www.diodes.com/part/view/DMC3071LVT" TargetMode="External"/><Relationship Id="rId_hyperlink_217" Type="http://schemas.openxmlformats.org/officeDocument/2006/relationships/hyperlink" Target="https://www.diodes.com/datasheet/download/DMC31D5UDA.pdf" TargetMode="External"/><Relationship Id="rId_hyperlink_218" Type="http://schemas.openxmlformats.org/officeDocument/2006/relationships/hyperlink" Target="https://www.diodes.com/part/view/DMC31D5UDA" TargetMode="External"/><Relationship Id="rId_hyperlink_219" Type="http://schemas.openxmlformats.org/officeDocument/2006/relationships/hyperlink" Target="https://www.diodes.com/datasheet/download/DMC31D5UDAQ.pdf" TargetMode="External"/><Relationship Id="rId_hyperlink_220" Type="http://schemas.openxmlformats.org/officeDocument/2006/relationships/hyperlink" Target="https://www.diodes.com/part/view/DMC31D5UDAQ" TargetMode="External"/><Relationship Id="rId_hyperlink_221" Type="http://schemas.openxmlformats.org/officeDocument/2006/relationships/hyperlink" Target="https://www.diodes.com/datasheet/download/DMC31D5UDJ.pdf" TargetMode="External"/><Relationship Id="rId_hyperlink_222" Type="http://schemas.openxmlformats.org/officeDocument/2006/relationships/hyperlink" Target="https://www.diodes.com/part/view/DMC31D5UDJ" TargetMode="External"/><Relationship Id="rId_hyperlink_223" Type="http://schemas.openxmlformats.org/officeDocument/2006/relationships/hyperlink" Target="https://www.diodes.com/datasheet/download/DMC3350LDW.pdf" TargetMode="External"/><Relationship Id="rId_hyperlink_224" Type="http://schemas.openxmlformats.org/officeDocument/2006/relationships/hyperlink" Target="https://www.diodes.com/part/view/DMC3350LDW" TargetMode="External"/><Relationship Id="rId_hyperlink_225" Type="http://schemas.openxmlformats.org/officeDocument/2006/relationships/hyperlink" Target="https://www.diodes.com/datasheet/download/DMC3350LDWQ.pdf" TargetMode="External"/><Relationship Id="rId_hyperlink_226" Type="http://schemas.openxmlformats.org/officeDocument/2006/relationships/hyperlink" Target="https://www.diodes.com/part/view/DMC3350LDWQ" TargetMode="External"/><Relationship Id="rId_hyperlink_227" Type="http://schemas.openxmlformats.org/officeDocument/2006/relationships/hyperlink" Target="https://www.diodes.com/datasheet/download/DMC3400SDW.pdf" TargetMode="External"/><Relationship Id="rId_hyperlink_228" Type="http://schemas.openxmlformats.org/officeDocument/2006/relationships/hyperlink" Target="https://www.diodes.com/part/view/DMC3400SDW" TargetMode="External"/><Relationship Id="rId_hyperlink_229" Type="http://schemas.openxmlformats.org/officeDocument/2006/relationships/hyperlink" Target="https://www.diodes.com/datasheet/download/DMC3401LDW.pdf" TargetMode="External"/><Relationship Id="rId_hyperlink_230" Type="http://schemas.openxmlformats.org/officeDocument/2006/relationships/hyperlink" Target="https://www.diodes.com/part/view/DMC3401LDW" TargetMode="External"/><Relationship Id="rId_hyperlink_231" Type="http://schemas.openxmlformats.org/officeDocument/2006/relationships/hyperlink" Target="https://www.diodes.com/datasheet/download/DMC3730UFL3.pdf" TargetMode="External"/><Relationship Id="rId_hyperlink_232" Type="http://schemas.openxmlformats.org/officeDocument/2006/relationships/hyperlink" Target="https://www.diodes.com/part/view/DMC3730UFL3" TargetMode="External"/><Relationship Id="rId_hyperlink_233" Type="http://schemas.openxmlformats.org/officeDocument/2006/relationships/hyperlink" Target="https://www.diodes.com/datasheet/download/DMC3730UVT.pdf" TargetMode="External"/><Relationship Id="rId_hyperlink_234" Type="http://schemas.openxmlformats.org/officeDocument/2006/relationships/hyperlink" Target="https://www.diodes.com/part/view/DMC3730UVT" TargetMode="External"/><Relationship Id="rId_hyperlink_235" Type="http://schemas.openxmlformats.org/officeDocument/2006/relationships/hyperlink" Target="https://www.diodes.com/datasheet/download/DMC3732UVT.pdf" TargetMode="External"/><Relationship Id="rId_hyperlink_236" Type="http://schemas.openxmlformats.org/officeDocument/2006/relationships/hyperlink" Target="https://www.diodes.com/part/view/DMC3732UVT" TargetMode="External"/><Relationship Id="rId_hyperlink_237" Type="http://schemas.openxmlformats.org/officeDocument/2006/relationships/hyperlink" Target="https://www.diodes.com/datasheet/download/DMC3732UVTQ.pdf" TargetMode="External"/><Relationship Id="rId_hyperlink_238" Type="http://schemas.openxmlformats.org/officeDocument/2006/relationships/hyperlink" Target="https://www.diodes.com/part/view/DMC3732UVTQ" TargetMode="External"/><Relationship Id="rId_hyperlink_239" Type="http://schemas.openxmlformats.org/officeDocument/2006/relationships/hyperlink" Target="https://www.diodes.com/datasheet/download/DMC4015SSD.pdf" TargetMode="External"/><Relationship Id="rId_hyperlink_240" Type="http://schemas.openxmlformats.org/officeDocument/2006/relationships/hyperlink" Target="https://www.diodes.com/part/view/DMC4015SSD" TargetMode="External"/><Relationship Id="rId_hyperlink_241" Type="http://schemas.openxmlformats.org/officeDocument/2006/relationships/hyperlink" Target="https://www.diodes.com/datasheet/download/DMC4028SSD.pdf" TargetMode="External"/><Relationship Id="rId_hyperlink_242" Type="http://schemas.openxmlformats.org/officeDocument/2006/relationships/hyperlink" Target="https://www.diodes.com/part/view/DMC4028SSD" TargetMode="External"/><Relationship Id="rId_hyperlink_243" Type="http://schemas.openxmlformats.org/officeDocument/2006/relationships/hyperlink" Target="https://www.diodes.com/datasheet/download/DMC4029SK4.pdf" TargetMode="External"/><Relationship Id="rId_hyperlink_244" Type="http://schemas.openxmlformats.org/officeDocument/2006/relationships/hyperlink" Target="https://www.diodes.com/part/view/DMC4029SK4" TargetMode="External"/><Relationship Id="rId_hyperlink_245" Type="http://schemas.openxmlformats.org/officeDocument/2006/relationships/hyperlink" Target="https://www.diodes.com/datasheet/download/DMC4029SSD.pdf" TargetMode="External"/><Relationship Id="rId_hyperlink_246" Type="http://schemas.openxmlformats.org/officeDocument/2006/relationships/hyperlink" Target="https://www.diodes.com/part/view/DMC4029SSD" TargetMode="External"/><Relationship Id="rId_hyperlink_247" Type="http://schemas.openxmlformats.org/officeDocument/2006/relationships/hyperlink" Target="https://www.diodes.com/datasheet/download/DMC4040SSDQ.pdf" TargetMode="External"/><Relationship Id="rId_hyperlink_248" Type="http://schemas.openxmlformats.org/officeDocument/2006/relationships/hyperlink" Target="https://www.diodes.com/part/view/DMC4040SSDQ" TargetMode="External"/><Relationship Id="rId_hyperlink_249" Type="http://schemas.openxmlformats.org/officeDocument/2006/relationships/hyperlink" Target="https://www.diodes.com/datasheet/download/DMC4047LSD.pdf" TargetMode="External"/><Relationship Id="rId_hyperlink_250" Type="http://schemas.openxmlformats.org/officeDocument/2006/relationships/hyperlink" Target="https://www.diodes.com/part/view/DMC4047LSD" TargetMode="External"/><Relationship Id="rId_hyperlink_251" Type="http://schemas.openxmlformats.org/officeDocument/2006/relationships/hyperlink" Target="https://www.diodes.com/datasheet/download/DMC4050SSDQ.pdf" TargetMode="External"/><Relationship Id="rId_hyperlink_252" Type="http://schemas.openxmlformats.org/officeDocument/2006/relationships/hyperlink" Target="https://www.diodes.com/part/view/DMC4050SSDQ" TargetMode="External"/><Relationship Id="rId_hyperlink_253" Type="http://schemas.openxmlformats.org/officeDocument/2006/relationships/hyperlink" Target="https://www.diodes.com/datasheet/download/DMC6022SSD.pdf" TargetMode="External"/><Relationship Id="rId_hyperlink_254" Type="http://schemas.openxmlformats.org/officeDocument/2006/relationships/hyperlink" Target="https://www.diodes.com/part/view/DMC6022SSD" TargetMode="External"/><Relationship Id="rId_hyperlink_255" Type="http://schemas.openxmlformats.org/officeDocument/2006/relationships/hyperlink" Target="https://www.diodes.com/datasheet/download/DMC6040SSD.pdf" TargetMode="External"/><Relationship Id="rId_hyperlink_256" Type="http://schemas.openxmlformats.org/officeDocument/2006/relationships/hyperlink" Target="https://www.diodes.com/part/view/DMC6040SSD" TargetMode="External"/><Relationship Id="rId_hyperlink_257" Type="http://schemas.openxmlformats.org/officeDocument/2006/relationships/hyperlink" Target="https://www.diodes.com/datasheet/download/DMC6040SSDQ.pdf" TargetMode="External"/><Relationship Id="rId_hyperlink_258" Type="http://schemas.openxmlformats.org/officeDocument/2006/relationships/hyperlink" Target="https://www.diodes.com/part/view/DMC6040SSDQ" TargetMode="External"/><Relationship Id="rId_hyperlink_259" Type="http://schemas.openxmlformats.org/officeDocument/2006/relationships/hyperlink" Target="https://www.diodes.com/datasheet/download/DMC6070LND.pdf" TargetMode="External"/><Relationship Id="rId_hyperlink_260" Type="http://schemas.openxmlformats.org/officeDocument/2006/relationships/hyperlink" Target="https://www.diodes.com/part/view/DMC6070LND" TargetMode="External"/><Relationship Id="rId_hyperlink_261" Type="http://schemas.openxmlformats.org/officeDocument/2006/relationships/hyperlink" Target="https://www.diodes.com/datasheet/download/DMC62D0SVQ.pdf" TargetMode="External"/><Relationship Id="rId_hyperlink_262" Type="http://schemas.openxmlformats.org/officeDocument/2006/relationships/hyperlink" Target="https://www.diodes.com/part/view/DMC62D0SVQ" TargetMode="External"/><Relationship Id="rId_hyperlink_263" Type="http://schemas.openxmlformats.org/officeDocument/2006/relationships/hyperlink" Target="https://www.diodes.com/datasheet/download/DMC62D2SV.pdf" TargetMode="External"/><Relationship Id="rId_hyperlink_264" Type="http://schemas.openxmlformats.org/officeDocument/2006/relationships/hyperlink" Target="https://www.diodes.com/part/view/DMC62D2SV" TargetMode="External"/><Relationship Id="rId_hyperlink_265" Type="http://schemas.openxmlformats.org/officeDocument/2006/relationships/hyperlink" Target="https://www.diodes.com/datasheet/download/DMC62D2SVQ.pdf" TargetMode="External"/><Relationship Id="rId_hyperlink_266" Type="http://schemas.openxmlformats.org/officeDocument/2006/relationships/hyperlink" Target="https://www.diodes.com/part/view/DMC62D2SVQ" TargetMode="External"/><Relationship Id="rId_hyperlink_267" Type="http://schemas.openxmlformats.org/officeDocument/2006/relationships/hyperlink" Target="https://www.diodes.com/datasheet/download/DMC67D8UFDBQ.pdf" TargetMode="External"/><Relationship Id="rId_hyperlink_268" Type="http://schemas.openxmlformats.org/officeDocument/2006/relationships/hyperlink" Target="https://www.diodes.com/part/view/DMC67D8UFDBQ" TargetMode="External"/><Relationship Id="rId_hyperlink_269" Type="http://schemas.openxmlformats.org/officeDocument/2006/relationships/hyperlink" Target="https://www.diodes.com/datasheet/download/DMG1012T.pdf" TargetMode="External"/><Relationship Id="rId_hyperlink_270" Type="http://schemas.openxmlformats.org/officeDocument/2006/relationships/hyperlink" Target="https://www.diodes.com/part/view/DMG1012T" TargetMode="External"/><Relationship Id="rId_hyperlink_271" Type="http://schemas.openxmlformats.org/officeDocument/2006/relationships/hyperlink" Target="https://www.diodes.com/datasheet/download/DMG1012UW.pdf" TargetMode="External"/><Relationship Id="rId_hyperlink_272" Type="http://schemas.openxmlformats.org/officeDocument/2006/relationships/hyperlink" Target="https://www.diodes.com/part/view/DMG1012UW" TargetMode="External"/><Relationship Id="rId_hyperlink_273" Type="http://schemas.openxmlformats.org/officeDocument/2006/relationships/hyperlink" Target="https://www.diodes.com/datasheet/download/DMG1012UWQ.pdf" TargetMode="External"/><Relationship Id="rId_hyperlink_274" Type="http://schemas.openxmlformats.org/officeDocument/2006/relationships/hyperlink" Target="https://www.diodes.com/part/view/DMG1012UWQ" TargetMode="External"/><Relationship Id="rId_hyperlink_275" Type="http://schemas.openxmlformats.org/officeDocument/2006/relationships/hyperlink" Target="https://www.diodes.com/datasheet/download/DMG1013T.pdf" TargetMode="External"/><Relationship Id="rId_hyperlink_276" Type="http://schemas.openxmlformats.org/officeDocument/2006/relationships/hyperlink" Target="https://www.diodes.com/part/view/DMG1013T" TargetMode="External"/><Relationship Id="rId_hyperlink_277" Type="http://schemas.openxmlformats.org/officeDocument/2006/relationships/hyperlink" Target="https://www.diodes.com/datasheet/download/DMG1013TQ.pdf" TargetMode="External"/><Relationship Id="rId_hyperlink_278" Type="http://schemas.openxmlformats.org/officeDocument/2006/relationships/hyperlink" Target="https://www.diodes.com/part/view/DMG1013TQ" TargetMode="External"/><Relationship Id="rId_hyperlink_279" Type="http://schemas.openxmlformats.org/officeDocument/2006/relationships/hyperlink" Target="https://www.diodes.com/datasheet/download/DMG1013UW.pdf" TargetMode="External"/><Relationship Id="rId_hyperlink_280" Type="http://schemas.openxmlformats.org/officeDocument/2006/relationships/hyperlink" Target="https://www.diodes.com/part/view/DMG1013UW" TargetMode="External"/><Relationship Id="rId_hyperlink_281" Type="http://schemas.openxmlformats.org/officeDocument/2006/relationships/hyperlink" Target="https://www.diodes.com/datasheet/download/DMG1013UWQ.pdf" TargetMode="External"/><Relationship Id="rId_hyperlink_282" Type="http://schemas.openxmlformats.org/officeDocument/2006/relationships/hyperlink" Target="https://www.diodes.com/part/view/DMG1013UWQ" TargetMode="External"/><Relationship Id="rId_hyperlink_283" Type="http://schemas.openxmlformats.org/officeDocument/2006/relationships/hyperlink" Target="https://www.diodes.com/datasheet/download/DMG1016UDW.pdf" TargetMode="External"/><Relationship Id="rId_hyperlink_284" Type="http://schemas.openxmlformats.org/officeDocument/2006/relationships/hyperlink" Target="https://www.diodes.com/part/view/DMG1016UDW" TargetMode="External"/><Relationship Id="rId_hyperlink_285" Type="http://schemas.openxmlformats.org/officeDocument/2006/relationships/hyperlink" Target="https://www.diodes.com/datasheet/download/DMG1016V.pdf" TargetMode="External"/><Relationship Id="rId_hyperlink_286" Type="http://schemas.openxmlformats.org/officeDocument/2006/relationships/hyperlink" Target="https://www.diodes.com/part/view/DMG1016V" TargetMode="External"/><Relationship Id="rId_hyperlink_287" Type="http://schemas.openxmlformats.org/officeDocument/2006/relationships/hyperlink" Target="https://www.diodes.com/datasheet/download/DMG1023UV.pdf" TargetMode="External"/><Relationship Id="rId_hyperlink_288" Type="http://schemas.openxmlformats.org/officeDocument/2006/relationships/hyperlink" Target="https://www.diodes.com/part/view/DMG1023UV" TargetMode="External"/><Relationship Id="rId_hyperlink_289" Type="http://schemas.openxmlformats.org/officeDocument/2006/relationships/hyperlink" Target="https://www.diodes.com/datasheet/download/DMG1023UVQ.pdf" TargetMode="External"/><Relationship Id="rId_hyperlink_290" Type="http://schemas.openxmlformats.org/officeDocument/2006/relationships/hyperlink" Target="https://www.diodes.com/part/view/DMG1023UVQ" TargetMode="External"/><Relationship Id="rId_hyperlink_291" Type="http://schemas.openxmlformats.org/officeDocument/2006/relationships/hyperlink" Target="https://www.diodes.com/datasheet/download/DMG1024UV.pdf" TargetMode="External"/><Relationship Id="rId_hyperlink_292" Type="http://schemas.openxmlformats.org/officeDocument/2006/relationships/hyperlink" Target="https://www.diodes.com/part/view/DMG1024UV" TargetMode="External"/><Relationship Id="rId_hyperlink_293" Type="http://schemas.openxmlformats.org/officeDocument/2006/relationships/hyperlink" Target="https://www.diodes.com/datasheet/download/DMG1026UVQ.pdf" TargetMode="External"/><Relationship Id="rId_hyperlink_294" Type="http://schemas.openxmlformats.org/officeDocument/2006/relationships/hyperlink" Target="https://www.diodes.com/part/view/DMG1026UVQ" TargetMode="External"/><Relationship Id="rId_hyperlink_295" Type="http://schemas.openxmlformats.org/officeDocument/2006/relationships/hyperlink" Target="https://www.diodes.com/datasheet/download/DMG1029SVQ.pdf" TargetMode="External"/><Relationship Id="rId_hyperlink_296" Type="http://schemas.openxmlformats.org/officeDocument/2006/relationships/hyperlink" Target="https://www.diodes.com/part/view/DMG1029SVQ" TargetMode="External"/><Relationship Id="rId_hyperlink_297" Type="http://schemas.openxmlformats.org/officeDocument/2006/relationships/hyperlink" Target="https://www.diodes.com/datasheet/download/DMG2301L.pdf" TargetMode="External"/><Relationship Id="rId_hyperlink_298" Type="http://schemas.openxmlformats.org/officeDocument/2006/relationships/hyperlink" Target="https://www.diodes.com/part/view/DMG2301L" TargetMode="External"/><Relationship Id="rId_hyperlink_299" Type="http://schemas.openxmlformats.org/officeDocument/2006/relationships/hyperlink" Target="https://www.diodes.com/datasheet/download/DMG2301LK.pdf" TargetMode="External"/><Relationship Id="rId_hyperlink_300" Type="http://schemas.openxmlformats.org/officeDocument/2006/relationships/hyperlink" Target="https://www.diodes.com/part/view/DMG2301LK" TargetMode="External"/><Relationship Id="rId_hyperlink_301" Type="http://schemas.openxmlformats.org/officeDocument/2006/relationships/hyperlink" Target="https://www.diodes.com/datasheet/download/DMG2301U.pdf" TargetMode="External"/><Relationship Id="rId_hyperlink_302" Type="http://schemas.openxmlformats.org/officeDocument/2006/relationships/hyperlink" Target="https://www.diodes.com/part/view/DMG2301U" TargetMode="External"/><Relationship Id="rId_hyperlink_303" Type="http://schemas.openxmlformats.org/officeDocument/2006/relationships/hyperlink" Target="https://www.diodes.com/datasheet/download/DMG2302UK.pdf" TargetMode="External"/><Relationship Id="rId_hyperlink_304" Type="http://schemas.openxmlformats.org/officeDocument/2006/relationships/hyperlink" Target="https://www.diodes.com/part/view/DMG2302UK" TargetMode="External"/><Relationship Id="rId_hyperlink_305" Type="http://schemas.openxmlformats.org/officeDocument/2006/relationships/hyperlink" Target="https://www.diodes.com/datasheet/download/DMG2302UKQ.pdf" TargetMode="External"/><Relationship Id="rId_hyperlink_306" Type="http://schemas.openxmlformats.org/officeDocument/2006/relationships/hyperlink" Target="https://www.diodes.com/part/view/DMG2302UKQ" TargetMode="External"/><Relationship Id="rId_hyperlink_307" Type="http://schemas.openxmlformats.org/officeDocument/2006/relationships/hyperlink" Target="https://www.diodes.com/datasheet/download/DMG2305UX.pdf" TargetMode="External"/><Relationship Id="rId_hyperlink_308" Type="http://schemas.openxmlformats.org/officeDocument/2006/relationships/hyperlink" Target="https://www.diodes.com/part/view/DMG2305UX" TargetMode="External"/><Relationship Id="rId_hyperlink_309" Type="http://schemas.openxmlformats.org/officeDocument/2006/relationships/hyperlink" Target="https://www.diodes.com/datasheet/download/DMG2305UXQ.pdf" TargetMode="External"/><Relationship Id="rId_hyperlink_310" Type="http://schemas.openxmlformats.org/officeDocument/2006/relationships/hyperlink" Target="https://www.diodes.com/part/view/DMG2305UXQ" TargetMode="External"/><Relationship Id="rId_hyperlink_311" Type="http://schemas.openxmlformats.org/officeDocument/2006/relationships/hyperlink" Target="https://www.diodes.com/datasheet/download/DMG301NU.pdf" TargetMode="External"/><Relationship Id="rId_hyperlink_312" Type="http://schemas.openxmlformats.org/officeDocument/2006/relationships/hyperlink" Target="https://www.diodes.com/part/view/DMG301NU" TargetMode="External"/><Relationship Id="rId_hyperlink_313" Type="http://schemas.openxmlformats.org/officeDocument/2006/relationships/hyperlink" Target="https://www.diodes.com/datasheet/download/DMG302PU.pdf" TargetMode="External"/><Relationship Id="rId_hyperlink_314" Type="http://schemas.openxmlformats.org/officeDocument/2006/relationships/hyperlink" Target="https://www.diodes.com/part/view/DMG302PU" TargetMode="External"/><Relationship Id="rId_hyperlink_315" Type="http://schemas.openxmlformats.org/officeDocument/2006/relationships/hyperlink" Target="https://www.diodes.com/datasheet/download/DMG3401LSN.pdf" TargetMode="External"/><Relationship Id="rId_hyperlink_316" Type="http://schemas.openxmlformats.org/officeDocument/2006/relationships/hyperlink" Target="https://www.diodes.com/part/view/DMG3401LSN" TargetMode="External"/><Relationship Id="rId_hyperlink_317" Type="http://schemas.openxmlformats.org/officeDocument/2006/relationships/hyperlink" Target="https://www.diodes.com/datasheet/download/DMG3401LSNQ.pdf" TargetMode="External"/><Relationship Id="rId_hyperlink_318" Type="http://schemas.openxmlformats.org/officeDocument/2006/relationships/hyperlink" Target="https://www.diodes.com/part/view/DMG3401LSNQ" TargetMode="External"/><Relationship Id="rId_hyperlink_319" Type="http://schemas.openxmlformats.org/officeDocument/2006/relationships/hyperlink" Target="https://www.diodes.com/datasheet/download/DMG3402L.pdf" TargetMode="External"/><Relationship Id="rId_hyperlink_320" Type="http://schemas.openxmlformats.org/officeDocument/2006/relationships/hyperlink" Target="https://www.diodes.com/part/view/DMG3402L" TargetMode="External"/><Relationship Id="rId_hyperlink_321" Type="http://schemas.openxmlformats.org/officeDocument/2006/relationships/hyperlink" Target="https://www.diodes.com/datasheet/download/DMG3402LQ.pdf" TargetMode="External"/><Relationship Id="rId_hyperlink_322" Type="http://schemas.openxmlformats.org/officeDocument/2006/relationships/hyperlink" Target="https://www.diodes.com/part/view/DMG3402LQ" TargetMode="External"/><Relationship Id="rId_hyperlink_323" Type="http://schemas.openxmlformats.org/officeDocument/2006/relationships/hyperlink" Target="https://www.diodes.com/datasheet/download/DMG3404L.pdf" TargetMode="External"/><Relationship Id="rId_hyperlink_324" Type="http://schemas.openxmlformats.org/officeDocument/2006/relationships/hyperlink" Target="https://www.diodes.com/part/view/DMG3404L" TargetMode="External"/><Relationship Id="rId_hyperlink_325" Type="http://schemas.openxmlformats.org/officeDocument/2006/relationships/hyperlink" Target="https://www.diodes.com/datasheet/download/DMG3406L.pdf" TargetMode="External"/><Relationship Id="rId_hyperlink_326" Type="http://schemas.openxmlformats.org/officeDocument/2006/relationships/hyperlink" Target="https://www.diodes.com/part/view/DMG3406L" TargetMode="External"/><Relationship Id="rId_hyperlink_327" Type="http://schemas.openxmlformats.org/officeDocument/2006/relationships/hyperlink" Target="https://www.diodes.com/datasheet/download/DMG3407SSN.pdf" TargetMode="External"/><Relationship Id="rId_hyperlink_328" Type="http://schemas.openxmlformats.org/officeDocument/2006/relationships/hyperlink" Target="https://www.diodes.com/part/view/DMG3407SSN" TargetMode="External"/><Relationship Id="rId_hyperlink_329" Type="http://schemas.openxmlformats.org/officeDocument/2006/relationships/hyperlink" Target="https://www.diodes.com/datasheet/download/DMG3413L.pdf" TargetMode="External"/><Relationship Id="rId_hyperlink_330" Type="http://schemas.openxmlformats.org/officeDocument/2006/relationships/hyperlink" Target="https://www.diodes.com/part/view/DMG3413L" TargetMode="External"/><Relationship Id="rId_hyperlink_331" Type="http://schemas.openxmlformats.org/officeDocument/2006/relationships/hyperlink" Target="https://www.diodes.com/datasheet/download/DMG3414U.pdf" TargetMode="External"/><Relationship Id="rId_hyperlink_332" Type="http://schemas.openxmlformats.org/officeDocument/2006/relationships/hyperlink" Target="https://www.diodes.com/part/view/DMG3414U" TargetMode="External"/><Relationship Id="rId_hyperlink_333" Type="http://schemas.openxmlformats.org/officeDocument/2006/relationships/hyperlink" Target="https://www.diodes.com/datasheet/download/DMG3414UQ.pdf" TargetMode="External"/><Relationship Id="rId_hyperlink_334" Type="http://schemas.openxmlformats.org/officeDocument/2006/relationships/hyperlink" Target="https://www.diodes.com/part/view/DMG3414UQ" TargetMode="External"/><Relationship Id="rId_hyperlink_335" Type="http://schemas.openxmlformats.org/officeDocument/2006/relationships/hyperlink" Target="https://www.diodes.com/datasheet/download/DMG3415UFY4Q.pdf" TargetMode="External"/><Relationship Id="rId_hyperlink_336" Type="http://schemas.openxmlformats.org/officeDocument/2006/relationships/hyperlink" Target="https://www.diodes.com/part/view/DMG3415UFY4Q" TargetMode="External"/><Relationship Id="rId_hyperlink_337" Type="http://schemas.openxmlformats.org/officeDocument/2006/relationships/hyperlink" Target="https://www.diodes.com/datasheet/download/DMG3418L.pdf" TargetMode="External"/><Relationship Id="rId_hyperlink_338" Type="http://schemas.openxmlformats.org/officeDocument/2006/relationships/hyperlink" Target="https://www.diodes.com/part/view/DMG3418L" TargetMode="External"/><Relationship Id="rId_hyperlink_339" Type="http://schemas.openxmlformats.org/officeDocument/2006/relationships/hyperlink" Target="https://www.diodes.com/datasheet/download/DMG3420UQ+.pdf" TargetMode="External"/><Relationship Id="rId_hyperlink_340" Type="http://schemas.openxmlformats.org/officeDocument/2006/relationships/hyperlink" Target="https://www.diodes.com/part/view/DMG3420UQ" TargetMode="External"/><Relationship Id="rId_hyperlink_341" Type="http://schemas.openxmlformats.org/officeDocument/2006/relationships/hyperlink" Target="https://www.diodes.com/datasheet/download/DMG4466SSS.pdf" TargetMode="External"/><Relationship Id="rId_hyperlink_342" Type="http://schemas.openxmlformats.org/officeDocument/2006/relationships/hyperlink" Target="https://www.diodes.com/part/view/DMG4466SSS" TargetMode="External"/><Relationship Id="rId_hyperlink_343" Type="http://schemas.openxmlformats.org/officeDocument/2006/relationships/hyperlink" Target="https://www.diodes.com/datasheet/download/DMG4466SSSL.pdf" TargetMode="External"/><Relationship Id="rId_hyperlink_344" Type="http://schemas.openxmlformats.org/officeDocument/2006/relationships/hyperlink" Target="https://www.diodes.com/part/view/DMG4466SSSL" TargetMode="External"/><Relationship Id="rId_hyperlink_345" Type="http://schemas.openxmlformats.org/officeDocument/2006/relationships/hyperlink" Target="https://www.diodes.com/datasheet/download/DMG4468LFG.pdf" TargetMode="External"/><Relationship Id="rId_hyperlink_346" Type="http://schemas.openxmlformats.org/officeDocument/2006/relationships/hyperlink" Target="https://www.diodes.com/part/view/DMG4468LFG" TargetMode="External"/><Relationship Id="rId_hyperlink_347" Type="http://schemas.openxmlformats.org/officeDocument/2006/relationships/hyperlink" Target="https://www.diodes.com/datasheet/download/DMG4468LK3.pdf" TargetMode="External"/><Relationship Id="rId_hyperlink_348" Type="http://schemas.openxmlformats.org/officeDocument/2006/relationships/hyperlink" Target="https://www.diodes.com/part/view/DMG4468LK3" TargetMode="External"/><Relationship Id="rId_hyperlink_349" Type="http://schemas.openxmlformats.org/officeDocument/2006/relationships/hyperlink" Target="https://www.diodes.com/datasheet/download/DMG4496SSS.pdf" TargetMode="External"/><Relationship Id="rId_hyperlink_350" Type="http://schemas.openxmlformats.org/officeDocument/2006/relationships/hyperlink" Target="https://www.diodes.com/part/view/DMG4496SSS" TargetMode="External"/><Relationship Id="rId_hyperlink_351" Type="http://schemas.openxmlformats.org/officeDocument/2006/relationships/hyperlink" Target="https://www.diodes.com/datasheet/download/DMG4511SK4.pdf" TargetMode="External"/><Relationship Id="rId_hyperlink_352" Type="http://schemas.openxmlformats.org/officeDocument/2006/relationships/hyperlink" Target="https://www.diodes.com/part/view/DMG4511SK4" TargetMode="External"/><Relationship Id="rId_hyperlink_353" Type="http://schemas.openxmlformats.org/officeDocument/2006/relationships/hyperlink" Target="https://www.diodes.com/datasheet/download/DMG4800LFG.pdf" TargetMode="External"/><Relationship Id="rId_hyperlink_354" Type="http://schemas.openxmlformats.org/officeDocument/2006/relationships/hyperlink" Target="https://www.diodes.com/part/view/DMG4800LFG" TargetMode="External"/><Relationship Id="rId_hyperlink_355" Type="http://schemas.openxmlformats.org/officeDocument/2006/relationships/hyperlink" Target="https://www.diodes.com/datasheet/download/DMG4800LK3.pdf" TargetMode="External"/><Relationship Id="rId_hyperlink_356" Type="http://schemas.openxmlformats.org/officeDocument/2006/relationships/hyperlink" Target="https://www.diodes.com/part/view/DMG4800LK3" TargetMode="External"/><Relationship Id="rId_hyperlink_357" Type="http://schemas.openxmlformats.org/officeDocument/2006/relationships/hyperlink" Target="https://www.diodes.com/datasheet/download/DMG4800LSD.pdf" TargetMode="External"/><Relationship Id="rId_hyperlink_358" Type="http://schemas.openxmlformats.org/officeDocument/2006/relationships/hyperlink" Target="https://www.diodes.com/part/view/DMG4800LSD" TargetMode="External"/><Relationship Id="rId_hyperlink_359" Type="http://schemas.openxmlformats.org/officeDocument/2006/relationships/hyperlink" Target="https://www.diodes.com/datasheet/download/DMG4822SSD.pdf" TargetMode="External"/><Relationship Id="rId_hyperlink_360" Type="http://schemas.openxmlformats.org/officeDocument/2006/relationships/hyperlink" Target="https://www.diodes.com/part/view/DMG4822SSD" TargetMode="External"/><Relationship Id="rId_hyperlink_361" Type="http://schemas.openxmlformats.org/officeDocument/2006/relationships/hyperlink" Target="https://www.diodes.com/datasheet/download/DMG5802LFX.pdf" TargetMode="External"/><Relationship Id="rId_hyperlink_362" Type="http://schemas.openxmlformats.org/officeDocument/2006/relationships/hyperlink" Target="https://www.diodes.com/part/view/DMG5802LFX" TargetMode="External"/><Relationship Id="rId_hyperlink_363" Type="http://schemas.openxmlformats.org/officeDocument/2006/relationships/hyperlink" Target="https://www.diodes.com/datasheet/download/DMG6301UDW.pdf" TargetMode="External"/><Relationship Id="rId_hyperlink_364" Type="http://schemas.openxmlformats.org/officeDocument/2006/relationships/hyperlink" Target="https://www.diodes.com/part/view/DMG6301UDW" TargetMode="External"/><Relationship Id="rId_hyperlink_365" Type="http://schemas.openxmlformats.org/officeDocument/2006/relationships/hyperlink" Target="https://www.diodes.com/datasheet/download/DMG6302UDW.pdf" TargetMode="External"/><Relationship Id="rId_hyperlink_366" Type="http://schemas.openxmlformats.org/officeDocument/2006/relationships/hyperlink" Target="https://www.diodes.com/part/view/DMG6302UDW" TargetMode="External"/><Relationship Id="rId_hyperlink_367" Type="http://schemas.openxmlformats.org/officeDocument/2006/relationships/hyperlink" Target="https://www.diodes.com/datasheet/download/DMG6402LVT.pdf" TargetMode="External"/><Relationship Id="rId_hyperlink_368" Type="http://schemas.openxmlformats.org/officeDocument/2006/relationships/hyperlink" Target="https://www.diodes.com/part/view/DMG6402LVT" TargetMode="External"/><Relationship Id="rId_hyperlink_369" Type="http://schemas.openxmlformats.org/officeDocument/2006/relationships/hyperlink" Target="https://www.diodes.com/datasheet/download/DMG6601LVT.pdf" TargetMode="External"/><Relationship Id="rId_hyperlink_370" Type="http://schemas.openxmlformats.org/officeDocument/2006/relationships/hyperlink" Target="https://www.diodes.com/part/view/DMG6601LVT" TargetMode="External"/><Relationship Id="rId_hyperlink_371" Type="http://schemas.openxmlformats.org/officeDocument/2006/relationships/hyperlink" Target="https://www.diodes.com/datasheet/download/DMG6898LSD.pdf" TargetMode="External"/><Relationship Id="rId_hyperlink_372" Type="http://schemas.openxmlformats.org/officeDocument/2006/relationships/hyperlink" Target="https://www.diodes.com/part/view/DMG6898LSD" TargetMode="External"/><Relationship Id="rId_hyperlink_373" Type="http://schemas.openxmlformats.org/officeDocument/2006/relationships/hyperlink" Target="https://www.diodes.com/datasheet/download/DMG6968UDM.pdf" TargetMode="External"/><Relationship Id="rId_hyperlink_374" Type="http://schemas.openxmlformats.org/officeDocument/2006/relationships/hyperlink" Target="https://www.diodes.com/part/view/DMG6968UDM" TargetMode="External"/><Relationship Id="rId_hyperlink_375" Type="http://schemas.openxmlformats.org/officeDocument/2006/relationships/hyperlink" Target="https://www.diodes.com/datasheet/download/DMG6968UTS.pdf" TargetMode="External"/><Relationship Id="rId_hyperlink_376" Type="http://schemas.openxmlformats.org/officeDocument/2006/relationships/hyperlink" Target="https://www.diodes.com/part/view/DMG6968UTS" TargetMode="External"/><Relationship Id="rId_hyperlink_377" Type="http://schemas.openxmlformats.org/officeDocument/2006/relationships/hyperlink" Target="https://www.diodes.com/datasheet/download/DMG7410SFG.pdf" TargetMode="External"/><Relationship Id="rId_hyperlink_378" Type="http://schemas.openxmlformats.org/officeDocument/2006/relationships/hyperlink" Target="https://www.diodes.com/part/view/DMG7410SFG" TargetMode="External"/><Relationship Id="rId_hyperlink_379" Type="http://schemas.openxmlformats.org/officeDocument/2006/relationships/hyperlink" Target="https://www.diodes.com/datasheet/download/DMG7430LFG.pdf" TargetMode="External"/><Relationship Id="rId_hyperlink_380" Type="http://schemas.openxmlformats.org/officeDocument/2006/relationships/hyperlink" Target="https://www.diodes.com/part/view/DMG7430LFG" TargetMode="External"/><Relationship Id="rId_hyperlink_381" Type="http://schemas.openxmlformats.org/officeDocument/2006/relationships/hyperlink" Target="https://www.diodes.com/datasheet/download/DMG7430LFGQ.pdf" TargetMode="External"/><Relationship Id="rId_hyperlink_382" Type="http://schemas.openxmlformats.org/officeDocument/2006/relationships/hyperlink" Target="https://www.diodes.com/part/view/DMG7430LFGQ" TargetMode="External"/><Relationship Id="rId_hyperlink_383" Type="http://schemas.openxmlformats.org/officeDocument/2006/relationships/hyperlink" Target="https://www.diodes.com/datasheet/download/DMG8601UFG.pdf" TargetMode="External"/><Relationship Id="rId_hyperlink_384" Type="http://schemas.openxmlformats.org/officeDocument/2006/relationships/hyperlink" Target="https://www.diodes.com/part/view/DMG8601UFG" TargetMode="External"/><Relationship Id="rId_hyperlink_385" Type="http://schemas.openxmlformats.org/officeDocument/2006/relationships/hyperlink" Target="https://www.diodes.com/datasheet/download/DMG8822UTS.pdf" TargetMode="External"/><Relationship Id="rId_hyperlink_386" Type="http://schemas.openxmlformats.org/officeDocument/2006/relationships/hyperlink" Target="https://www.diodes.com/part/view/DMG8822UTS" TargetMode="External"/><Relationship Id="rId_hyperlink_387" Type="http://schemas.openxmlformats.org/officeDocument/2006/relationships/hyperlink" Target="https://www.diodes.com/datasheet/download/DMG8880LK3.pdf" TargetMode="External"/><Relationship Id="rId_hyperlink_388" Type="http://schemas.openxmlformats.org/officeDocument/2006/relationships/hyperlink" Target="https://www.diodes.com/part/view/DMG8880LK3" TargetMode="External"/><Relationship Id="rId_hyperlink_389" Type="http://schemas.openxmlformats.org/officeDocument/2006/relationships/hyperlink" Target="https://www.diodes.com/datasheet/download/DMG9926UDM.pdf" TargetMode="External"/><Relationship Id="rId_hyperlink_390" Type="http://schemas.openxmlformats.org/officeDocument/2006/relationships/hyperlink" Target="https://www.diodes.com/part/view/DMG9926UDM" TargetMode="External"/><Relationship Id="rId_hyperlink_391" Type="http://schemas.openxmlformats.org/officeDocument/2006/relationships/hyperlink" Target="https://www.diodes.com/datasheet/download/DMG9926USD.pdf" TargetMode="External"/><Relationship Id="rId_hyperlink_392" Type="http://schemas.openxmlformats.org/officeDocument/2006/relationships/hyperlink" Target="https://www.diodes.com/part/view/DMG9926USD" TargetMode="External"/><Relationship Id="rId_hyperlink_393" Type="http://schemas.openxmlformats.org/officeDocument/2006/relationships/hyperlink" Target="https://www.diodes.com/datasheet/download/DMG9933USD.pdf" TargetMode="External"/><Relationship Id="rId_hyperlink_394" Type="http://schemas.openxmlformats.org/officeDocument/2006/relationships/hyperlink" Target="https://www.diodes.com/part/view/DMG9933USD" TargetMode="External"/><Relationship Id="rId_hyperlink_395" Type="http://schemas.openxmlformats.org/officeDocument/2006/relationships/hyperlink" Target="https://www.diodes.com/datasheet/download/DMGD7N45SSD.pdf" TargetMode="External"/><Relationship Id="rId_hyperlink_396" Type="http://schemas.openxmlformats.org/officeDocument/2006/relationships/hyperlink" Target="https://www.diodes.com/part/view/DMGD7N45SSD" TargetMode="External"/><Relationship Id="rId_hyperlink_397" Type="http://schemas.openxmlformats.org/officeDocument/2006/relationships/hyperlink" Target="https://www.diodes.com/datasheet/download/DMHC10H170SFJ.pdf" TargetMode="External"/><Relationship Id="rId_hyperlink_398" Type="http://schemas.openxmlformats.org/officeDocument/2006/relationships/hyperlink" Target="https://www.diodes.com/part/view/DMHC10H170SFJ" TargetMode="External"/><Relationship Id="rId_hyperlink_399" Type="http://schemas.openxmlformats.org/officeDocument/2006/relationships/hyperlink" Target="https://www.diodes.com/datasheet/download/DMHC3025LSD.pdf" TargetMode="External"/><Relationship Id="rId_hyperlink_400" Type="http://schemas.openxmlformats.org/officeDocument/2006/relationships/hyperlink" Target="https://www.diodes.com/part/view/DMHC3025LSD" TargetMode="External"/><Relationship Id="rId_hyperlink_401" Type="http://schemas.openxmlformats.org/officeDocument/2006/relationships/hyperlink" Target="https://www.diodes.com/datasheet/download/DMHC3025LSDQ.pdf" TargetMode="External"/><Relationship Id="rId_hyperlink_402" Type="http://schemas.openxmlformats.org/officeDocument/2006/relationships/hyperlink" Target="https://www.diodes.com/part/view/DMHC3025LSDQ" TargetMode="External"/><Relationship Id="rId_hyperlink_403" Type="http://schemas.openxmlformats.org/officeDocument/2006/relationships/hyperlink" Target="https://www.diodes.com/datasheet/download/DMHC4035LSD.pdf" TargetMode="External"/><Relationship Id="rId_hyperlink_404" Type="http://schemas.openxmlformats.org/officeDocument/2006/relationships/hyperlink" Target="https://www.diodes.com/part/view/DMHC4035LSD" TargetMode="External"/><Relationship Id="rId_hyperlink_405" Type="http://schemas.openxmlformats.org/officeDocument/2006/relationships/hyperlink" Target="https://www.diodes.com/datasheet/download/DMHC4035LSDQ.pdf" TargetMode="External"/><Relationship Id="rId_hyperlink_406" Type="http://schemas.openxmlformats.org/officeDocument/2006/relationships/hyperlink" Target="https://www.diodes.com/part/view/DMHC4035LSDQ" TargetMode="External"/><Relationship Id="rId_hyperlink_407" Type="http://schemas.openxmlformats.org/officeDocument/2006/relationships/hyperlink" Target="https://www.diodes.com/datasheet/download/DMHC6070LSD.pdf" TargetMode="External"/><Relationship Id="rId_hyperlink_408" Type="http://schemas.openxmlformats.org/officeDocument/2006/relationships/hyperlink" Target="https://www.diodes.com/part/view/DMHC6070LSD" TargetMode="External"/><Relationship Id="rId_hyperlink_409" Type="http://schemas.openxmlformats.org/officeDocument/2006/relationships/hyperlink" Target="https://www.diodes.com/datasheet/download/DMHT10H032LFJ.pdf" TargetMode="External"/><Relationship Id="rId_hyperlink_410" Type="http://schemas.openxmlformats.org/officeDocument/2006/relationships/hyperlink" Target="https://www.diodes.com/part/view/DMHT10H032LFJ" TargetMode="External"/><Relationship Id="rId_hyperlink_411" Type="http://schemas.openxmlformats.org/officeDocument/2006/relationships/hyperlink" Target="https://www.diodes.com/datasheet/download/DMHT3006LFJ.pdf" TargetMode="External"/><Relationship Id="rId_hyperlink_412" Type="http://schemas.openxmlformats.org/officeDocument/2006/relationships/hyperlink" Target="https://www.diodes.com/part/view/DMHT3006LFJ" TargetMode="External"/><Relationship Id="rId_hyperlink_413" Type="http://schemas.openxmlformats.org/officeDocument/2006/relationships/hyperlink" Target="https://www.diodes.com/datasheet/download/DMHT6016LFJ.pdf" TargetMode="External"/><Relationship Id="rId_hyperlink_414" Type="http://schemas.openxmlformats.org/officeDocument/2006/relationships/hyperlink" Target="https://www.diodes.com/part/view/DMHT6016LFJ" TargetMode="External"/><Relationship Id="rId_hyperlink_415" Type="http://schemas.openxmlformats.org/officeDocument/2006/relationships/hyperlink" Target="https://www.diodes.com/datasheet/download/DMN1001UCA10.pdf" TargetMode="External"/><Relationship Id="rId_hyperlink_416" Type="http://schemas.openxmlformats.org/officeDocument/2006/relationships/hyperlink" Target="https://www.diodes.com/part/view/DMN1001UCA10" TargetMode="External"/><Relationship Id="rId_hyperlink_417" Type="http://schemas.openxmlformats.org/officeDocument/2006/relationships/hyperlink" Target="https://www.diodes.com/datasheet/download/DMN1002UCA6.pdf" TargetMode="External"/><Relationship Id="rId_hyperlink_418" Type="http://schemas.openxmlformats.org/officeDocument/2006/relationships/hyperlink" Target="https://www.diodes.com/part/view/DMN1002UCA6" TargetMode="External"/><Relationship Id="rId_hyperlink_419" Type="http://schemas.openxmlformats.org/officeDocument/2006/relationships/hyperlink" Target="https://www.diodes.com/datasheet/download/DMN1003UCA6.pdf" TargetMode="External"/><Relationship Id="rId_hyperlink_420" Type="http://schemas.openxmlformats.org/officeDocument/2006/relationships/hyperlink" Target="https://www.diodes.com/part/view/DMN1003UCA6" TargetMode="External"/><Relationship Id="rId_hyperlink_421" Type="http://schemas.openxmlformats.org/officeDocument/2006/relationships/hyperlink" Target="https://www.diodes.com/datasheet/download/DMN1003UFDE.pdf" TargetMode="External"/><Relationship Id="rId_hyperlink_422" Type="http://schemas.openxmlformats.org/officeDocument/2006/relationships/hyperlink" Target="https://www.diodes.com/part/view/DMN1003UFDE" TargetMode="External"/><Relationship Id="rId_hyperlink_423" Type="http://schemas.openxmlformats.org/officeDocument/2006/relationships/hyperlink" Target="https://www.diodes.com/datasheet/download/DMN1004UFDF.pdf" TargetMode="External"/><Relationship Id="rId_hyperlink_424" Type="http://schemas.openxmlformats.org/officeDocument/2006/relationships/hyperlink" Target="https://www.diodes.com/part/view/DMN1004UFDF" TargetMode="External"/><Relationship Id="rId_hyperlink_425" Type="http://schemas.openxmlformats.org/officeDocument/2006/relationships/hyperlink" Target="https://www.diodes.com/datasheet/download/DMN1004UFV.pdf" TargetMode="External"/><Relationship Id="rId_hyperlink_426" Type="http://schemas.openxmlformats.org/officeDocument/2006/relationships/hyperlink" Target="https://www.diodes.com/part/view/DMN1004UFV" TargetMode="External"/><Relationship Id="rId_hyperlink_427" Type="http://schemas.openxmlformats.org/officeDocument/2006/relationships/hyperlink" Target="https://www.diodes.com/datasheet/download/DMN1005UFDF.pdf" TargetMode="External"/><Relationship Id="rId_hyperlink_428" Type="http://schemas.openxmlformats.org/officeDocument/2006/relationships/hyperlink" Target="https://www.diodes.com/part/view/DMN1005UFDF" TargetMode="External"/><Relationship Id="rId_hyperlink_429" Type="http://schemas.openxmlformats.org/officeDocument/2006/relationships/hyperlink" Target="https://www.diodes.com/datasheet/download/DMN1006UCA6.pdf" TargetMode="External"/><Relationship Id="rId_hyperlink_430" Type="http://schemas.openxmlformats.org/officeDocument/2006/relationships/hyperlink" Target="https://www.diodes.com/part/view/DMN1006UCA6" TargetMode="External"/><Relationship Id="rId_hyperlink_431" Type="http://schemas.openxmlformats.org/officeDocument/2006/relationships/hyperlink" Target="https://www.diodes.com/datasheet/download/DMN1008UFDF.pdf" TargetMode="External"/><Relationship Id="rId_hyperlink_432" Type="http://schemas.openxmlformats.org/officeDocument/2006/relationships/hyperlink" Target="https://www.diodes.com/part/view/DMN1008UFDF" TargetMode="External"/><Relationship Id="rId_hyperlink_433" Type="http://schemas.openxmlformats.org/officeDocument/2006/relationships/hyperlink" Target="https://www.diodes.com/datasheet/download/DMN1008UFDFQ.pdf" TargetMode="External"/><Relationship Id="rId_hyperlink_434" Type="http://schemas.openxmlformats.org/officeDocument/2006/relationships/hyperlink" Target="https://www.diodes.com/part/view/DMN1008UFDFQ" TargetMode="External"/><Relationship Id="rId_hyperlink_435" Type="http://schemas.openxmlformats.org/officeDocument/2006/relationships/hyperlink" Target="https://www.diodes.com/datasheet/download/DMN1014UFDF.pdf" TargetMode="External"/><Relationship Id="rId_hyperlink_436" Type="http://schemas.openxmlformats.org/officeDocument/2006/relationships/hyperlink" Target="https://www.diodes.com/part/view/DMN1014UFDF" TargetMode="External"/><Relationship Id="rId_hyperlink_437" Type="http://schemas.openxmlformats.org/officeDocument/2006/relationships/hyperlink" Target="https://www.diodes.com/datasheet/download/DMN1017UCP3.pdf" TargetMode="External"/><Relationship Id="rId_hyperlink_438" Type="http://schemas.openxmlformats.org/officeDocument/2006/relationships/hyperlink" Target="https://www.diodes.com/part/view/DMN1017UCP3" TargetMode="External"/><Relationship Id="rId_hyperlink_439" Type="http://schemas.openxmlformats.org/officeDocument/2006/relationships/hyperlink" Target="https://www.diodes.com/datasheet/download/DMN1019UFDE.pdf" TargetMode="External"/><Relationship Id="rId_hyperlink_440" Type="http://schemas.openxmlformats.org/officeDocument/2006/relationships/hyperlink" Target="https://www.diodes.com/part/view/DMN1019UFDE" TargetMode="External"/><Relationship Id="rId_hyperlink_441" Type="http://schemas.openxmlformats.org/officeDocument/2006/relationships/hyperlink" Target="https://www.diodes.com/datasheet/download/DMN1019USN.pdf" TargetMode="External"/><Relationship Id="rId_hyperlink_442" Type="http://schemas.openxmlformats.org/officeDocument/2006/relationships/hyperlink" Target="https://www.diodes.com/part/view/DMN1019USN" TargetMode="External"/><Relationship Id="rId_hyperlink_443" Type="http://schemas.openxmlformats.org/officeDocument/2006/relationships/hyperlink" Target="https://www.diodes.com/datasheet/download/DMN1019USNQ.pdf" TargetMode="External"/><Relationship Id="rId_hyperlink_444" Type="http://schemas.openxmlformats.org/officeDocument/2006/relationships/hyperlink" Target="https://www.diodes.com/part/view/DMN1019USNQ" TargetMode="External"/><Relationship Id="rId_hyperlink_445" Type="http://schemas.openxmlformats.org/officeDocument/2006/relationships/hyperlink" Target="https://www.diodes.com/datasheet/download/DMN1019UVT.pdf" TargetMode="External"/><Relationship Id="rId_hyperlink_446" Type="http://schemas.openxmlformats.org/officeDocument/2006/relationships/hyperlink" Target="https://www.diodes.com/part/view/DMN1019UVT" TargetMode="External"/><Relationship Id="rId_hyperlink_447" Type="http://schemas.openxmlformats.org/officeDocument/2006/relationships/hyperlink" Target="https://www.diodes.com/datasheet/download/DMN1021UCA4.pdf" TargetMode="External"/><Relationship Id="rId_hyperlink_448" Type="http://schemas.openxmlformats.org/officeDocument/2006/relationships/hyperlink" Target="https://www.diodes.com/part/view/DMN1021UCA4" TargetMode="External"/><Relationship Id="rId_hyperlink_449" Type="http://schemas.openxmlformats.org/officeDocument/2006/relationships/hyperlink" Target="https://www.diodes.com/datasheet/download/DMN1025UFDB.pdf" TargetMode="External"/><Relationship Id="rId_hyperlink_450" Type="http://schemas.openxmlformats.org/officeDocument/2006/relationships/hyperlink" Target="https://www.diodes.com/part/view/DMN1025UFDB" TargetMode="External"/><Relationship Id="rId_hyperlink_451" Type="http://schemas.openxmlformats.org/officeDocument/2006/relationships/hyperlink" Target="https://www.diodes.com/datasheet/download/DMN1029UFDB.pdf" TargetMode="External"/><Relationship Id="rId_hyperlink_452" Type="http://schemas.openxmlformats.org/officeDocument/2006/relationships/hyperlink" Target="https://www.diodes.com/part/view/DMN1029UFDB" TargetMode="External"/><Relationship Id="rId_hyperlink_453" Type="http://schemas.openxmlformats.org/officeDocument/2006/relationships/hyperlink" Target="https://www.diodes.com/datasheet/download/DMN1032UCP4.pdf" TargetMode="External"/><Relationship Id="rId_hyperlink_454" Type="http://schemas.openxmlformats.org/officeDocument/2006/relationships/hyperlink" Target="https://www.diodes.com/part/view/DMN1032UCP4" TargetMode="External"/><Relationship Id="rId_hyperlink_455" Type="http://schemas.openxmlformats.org/officeDocument/2006/relationships/hyperlink" Target="https://www.diodes.com/datasheet/download/DMN1045UFR4.pdf" TargetMode="External"/><Relationship Id="rId_hyperlink_456" Type="http://schemas.openxmlformats.org/officeDocument/2006/relationships/hyperlink" Target="https://www.diodes.com/part/view/DMN1045UFR4" TargetMode="External"/><Relationship Id="rId_hyperlink_457" Type="http://schemas.openxmlformats.org/officeDocument/2006/relationships/hyperlink" Target="https://www.diodes.com/datasheet/download/DMN1053UCP4.pdf" TargetMode="External"/><Relationship Id="rId_hyperlink_458" Type="http://schemas.openxmlformats.org/officeDocument/2006/relationships/hyperlink" Target="https://www.diodes.com/part/view/DMN1053UCP4" TargetMode="External"/><Relationship Id="rId_hyperlink_459" Type="http://schemas.openxmlformats.org/officeDocument/2006/relationships/hyperlink" Target="https://www.diodes.com/datasheet/download/DMN1054UCB4.pdf" TargetMode="External"/><Relationship Id="rId_hyperlink_460" Type="http://schemas.openxmlformats.org/officeDocument/2006/relationships/hyperlink" Target="https://www.diodes.com/part/view/DMN1054UCB4" TargetMode="External"/><Relationship Id="rId_hyperlink_461" Type="http://schemas.openxmlformats.org/officeDocument/2006/relationships/hyperlink" Target="https://www.diodes.com/datasheet/download/DMN10H099SFG.pdf" TargetMode="External"/><Relationship Id="rId_hyperlink_462" Type="http://schemas.openxmlformats.org/officeDocument/2006/relationships/hyperlink" Target="https://www.diodes.com/part/view/DMN10H099SFG" TargetMode="External"/><Relationship Id="rId_hyperlink_463" Type="http://schemas.openxmlformats.org/officeDocument/2006/relationships/hyperlink" Target="https://www.diodes.com/datasheet/download/DMN10H099SK3.pdf" TargetMode="External"/><Relationship Id="rId_hyperlink_464" Type="http://schemas.openxmlformats.org/officeDocument/2006/relationships/hyperlink" Target="https://www.diodes.com/part/view/DMN10H099SK3" TargetMode="External"/><Relationship Id="rId_hyperlink_465" Type="http://schemas.openxmlformats.org/officeDocument/2006/relationships/hyperlink" Target="https://www.diodes.com/datasheet/download/DMN10H100SK3.pdf" TargetMode="External"/><Relationship Id="rId_hyperlink_466" Type="http://schemas.openxmlformats.org/officeDocument/2006/relationships/hyperlink" Target="https://www.diodes.com/part/view/DMN10H100SK3" TargetMode="External"/><Relationship Id="rId_hyperlink_467" Type="http://schemas.openxmlformats.org/officeDocument/2006/relationships/hyperlink" Target="https://www.diodes.com/datasheet/download/DMN10H120SE.pdf" TargetMode="External"/><Relationship Id="rId_hyperlink_468" Type="http://schemas.openxmlformats.org/officeDocument/2006/relationships/hyperlink" Target="https://www.diodes.com/part/view/DMN10H120SE" TargetMode="External"/><Relationship Id="rId_hyperlink_469" Type="http://schemas.openxmlformats.org/officeDocument/2006/relationships/hyperlink" Target="https://www.diodes.com/datasheet/download/DMN10H120SFG.pdf" TargetMode="External"/><Relationship Id="rId_hyperlink_470" Type="http://schemas.openxmlformats.org/officeDocument/2006/relationships/hyperlink" Target="https://www.diodes.com/part/view/DMN10H120SFG" TargetMode="External"/><Relationship Id="rId_hyperlink_471" Type="http://schemas.openxmlformats.org/officeDocument/2006/relationships/hyperlink" Target="https://www.diodes.com/datasheet/download/DMN10H170SFDE.pdf" TargetMode="External"/><Relationship Id="rId_hyperlink_472" Type="http://schemas.openxmlformats.org/officeDocument/2006/relationships/hyperlink" Target="https://www.diodes.com/part/view/DMN10H170SFDE" TargetMode="External"/><Relationship Id="rId_hyperlink_473" Type="http://schemas.openxmlformats.org/officeDocument/2006/relationships/hyperlink" Target="https://www.diodes.com/datasheet/download/DMN10H170SFG.pdf" TargetMode="External"/><Relationship Id="rId_hyperlink_474" Type="http://schemas.openxmlformats.org/officeDocument/2006/relationships/hyperlink" Target="https://www.diodes.com/part/view/DMN10H170SFG" TargetMode="External"/><Relationship Id="rId_hyperlink_475" Type="http://schemas.openxmlformats.org/officeDocument/2006/relationships/hyperlink" Target="https://www.diodes.com/datasheet/download/DMN10H170SFGQ.pdf" TargetMode="External"/><Relationship Id="rId_hyperlink_476" Type="http://schemas.openxmlformats.org/officeDocument/2006/relationships/hyperlink" Target="https://www.diodes.com/part/view/DMN10H170SFGQ" TargetMode="External"/><Relationship Id="rId_hyperlink_477" Type="http://schemas.openxmlformats.org/officeDocument/2006/relationships/hyperlink" Target="https://www.diodes.com/datasheet/download/DMN10H170SK3.pdf" TargetMode="External"/><Relationship Id="rId_hyperlink_478" Type="http://schemas.openxmlformats.org/officeDocument/2006/relationships/hyperlink" Target="https://www.diodes.com/part/view/DMN10H170SK3" TargetMode="External"/><Relationship Id="rId_hyperlink_479" Type="http://schemas.openxmlformats.org/officeDocument/2006/relationships/hyperlink" Target="https://www.diodes.com/datasheet/download/DMN10H170SK3Q.pdf" TargetMode="External"/><Relationship Id="rId_hyperlink_480" Type="http://schemas.openxmlformats.org/officeDocument/2006/relationships/hyperlink" Target="https://www.diodes.com/part/view/DMN10H170SK3Q" TargetMode="External"/><Relationship Id="rId_hyperlink_481" Type="http://schemas.openxmlformats.org/officeDocument/2006/relationships/hyperlink" Target="https://www.diodes.com/datasheet/download/DMN10H170SVT.pdf" TargetMode="External"/><Relationship Id="rId_hyperlink_482" Type="http://schemas.openxmlformats.org/officeDocument/2006/relationships/hyperlink" Target="https://www.diodes.com/part/view/DMN10H170SVT" TargetMode="External"/><Relationship Id="rId_hyperlink_483" Type="http://schemas.openxmlformats.org/officeDocument/2006/relationships/hyperlink" Target="https://www.diodes.com/datasheet/download/DMN10H170SVTQ.pdf" TargetMode="External"/><Relationship Id="rId_hyperlink_484" Type="http://schemas.openxmlformats.org/officeDocument/2006/relationships/hyperlink" Target="https://www.diodes.com/part/view/DMN10H170SVTQ" TargetMode="External"/><Relationship Id="rId_hyperlink_485" Type="http://schemas.openxmlformats.org/officeDocument/2006/relationships/hyperlink" Target="https://www.diodes.com/datasheet/download/DMN10H220L.pdf" TargetMode="External"/><Relationship Id="rId_hyperlink_486" Type="http://schemas.openxmlformats.org/officeDocument/2006/relationships/hyperlink" Target="https://www.diodes.com/part/view/DMN10H220L" TargetMode="External"/><Relationship Id="rId_hyperlink_487" Type="http://schemas.openxmlformats.org/officeDocument/2006/relationships/hyperlink" Target="https://www.diodes.com/datasheet/download/DMN10H220LDV.pdf" TargetMode="External"/><Relationship Id="rId_hyperlink_488" Type="http://schemas.openxmlformats.org/officeDocument/2006/relationships/hyperlink" Target="https://www.diodes.com/part/view/DMN10H220LDV" TargetMode="External"/><Relationship Id="rId_hyperlink_489" Type="http://schemas.openxmlformats.org/officeDocument/2006/relationships/hyperlink" Target="https://www.diodes.com/datasheet/download/DMN10H220LE.pdf" TargetMode="External"/><Relationship Id="rId_hyperlink_490" Type="http://schemas.openxmlformats.org/officeDocument/2006/relationships/hyperlink" Target="https://www.diodes.com/part/view/DMN10H220LE" TargetMode="External"/><Relationship Id="rId_hyperlink_491" Type="http://schemas.openxmlformats.org/officeDocument/2006/relationships/hyperlink" Target="https://www.diodes.com/datasheet/download/DMN10H220LFDF.pdf" TargetMode="External"/><Relationship Id="rId_hyperlink_492" Type="http://schemas.openxmlformats.org/officeDocument/2006/relationships/hyperlink" Target="https://www.diodes.com/part/view/DMN10H220LFDF" TargetMode="External"/><Relationship Id="rId_hyperlink_493" Type="http://schemas.openxmlformats.org/officeDocument/2006/relationships/hyperlink" Target="https://www.diodes.com/datasheet/download/DMN10H220LFVW.pdf" TargetMode="External"/><Relationship Id="rId_hyperlink_494" Type="http://schemas.openxmlformats.org/officeDocument/2006/relationships/hyperlink" Target="https://www.diodes.com/part/view/DMN10H220LFVW" TargetMode="External"/><Relationship Id="rId_hyperlink_495" Type="http://schemas.openxmlformats.org/officeDocument/2006/relationships/hyperlink" Target="https://www.diodes.com/datasheet/download/DMN10H220LK3.pdf" TargetMode="External"/><Relationship Id="rId_hyperlink_496" Type="http://schemas.openxmlformats.org/officeDocument/2006/relationships/hyperlink" Target="https://www.diodes.com/part/view/DMN10H220LK3" TargetMode="External"/><Relationship Id="rId_hyperlink_497" Type="http://schemas.openxmlformats.org/officeDocument/2006/relationships/hyperlink" Target="https://www.diodes.com/datasheet/download/DMN10H220LPDW.pdf" TargetMode="External"/><Relationship Id="rId_hyperlink_498" Type="http://schemas.openxmlformats.org/officeDocument/2006/relationships/hyperlink" Target="https://www.diodes.com/part/view/DMN10H220LPDW" TargetMode="External"/><Relationship Id="rId_hyperlink_499" Type="http://schemas.openxmlformats.org/officeDocument/2006/relationships/hyperlink" Target="https://www.diodes.com/datasheet/download/DMN10H220LQ.pdf" TargetMode="External"/><Relationship Id="rId_hyperlink_500" Type="http://schemas.openxmlformats.org/officeDocument/2006/relationships/hyperlink" Target="https://www.diodes.com/part/view/DMN10H220LQ" TargetMode="External"/><Relationship Id="rId_hyperlink_501" Type="http://schemas.openxmlformats.org/officeDocument/2006/relationships/hyperlink" Target="https://www.diodes.com/datasheet/download/DMN10H220LVT.pdf" TargetMode="External"/><Relationship Id="rId_hyperlink_502" Type="http://schemas.openxmlformats.org/officeDocument/2006/relationships/hyperlink" Target="https://www.diodes.com/part/view/DMN10H220LVT" TargetMode="External"/><Relationship Id="rId_hyperlink_503" Type="http://schemas.openxmlformats.org/officeDocument/2006/relationships/hyperlink" Target="https://www.diodes.com/datasheet/download/DMN10H6D2LFDB.pdf" TargetMode="External"/><Relationship Id="rId_hyperlink_504" Type="http://schemas.openxmlformats.org/officeDocument/2006/relationships/hyperlink" Target="https://www.diodes.com/part/view/DMN10H6D2LFDB" TargetMode="External"/><Relationship Id="rId_hyperlink_505" Type="http://schemas.openxmlformats.org/officeDocument/2006/relationships/hyperlink" Target="https://www.diodes.com/datasheet/download/DMN10H700S.pdf" TargetMode="External"/><Relationship Id="rId_hyperlink_506" Type="http://schemas.openxmlformats.org/officeDocument/2006/relationships/hyperlink" Target="https://www.diodes.com/part/view/DMN10H700S" TargetMode="External"/><Relationship Id="rId_hyperlink_507" Type="http://schemas.openxmlformats.org/officeDocument/2006/relationships/hyperlink" Target="https://www.diodes.com/datasheet/download/DMN1150UFB.pdf" TargetMode="External"/><Relationship Id="rId_hyperlink_508" Type="http://schemas.openxmlformats.org/officeDocument/2006/relationships/hyperlink" Target="https://www.diodes.com/part/view/DMN1150UFB" TargetMode="External"/><Relationship Id="rId_hyperlink_509" Type="http://schemas.openxmlformats.org/officeDocument/2006/relationships/hyperlink" Target="https://www.diodes.com/datasheet/download/DMN1150UFL3.pdf" TargetMode="External"/><Relationship Id="rId_hyperlink_510" Type="http://schemas.openxmlformats.org/officeDocument/2006/relationships/hyperlink" Target="https://www.diodes.com/part/view/DMN1150UFL3" TargetMode="External"/><Relationship Id="rId_hyperlink_511" Type="http://schemas.openxmlformats.org/officeDocument/2006/relationships/hyperlink" Target="https://www.diodes.com/datasheet/download/DMN11M1UCA14.pdf" TargetMode="External"/><Relationship Id="rId_hyperlink_512" Type="http://schemas.openxmlformats.org/officeDocument/2006/relationships/hyperlink" Target="https://www.diodes.com/part/view/DMN11M1UCA14" TargetMode="External"/><Relationship Id="rId_hyperlink_513" Type="http://schemas.openxmlformats.org/officeDocument/2006/relationships/hyperlink" Target="https://www.diodes.com/datasheet/download/DMN1250UFEL.pdf" TargetMode="External"/><Relationship Id="rId_hyperlink_514" Type="http://schemas.openxmlformats.org/officeDocument/2006/relationships/hyperlink" Target="https://www.diodes.com/part/view/DMN1250UFEL" TargetMode="External"/><Relationship Id="rId_hyperlink_515" Type="http://schemas.openxmlformats.org/officeDocument/2006/relationships/hyperlink" Target="https://www.diodes.com/datasheet/download/DMN1260UFA.pdf" TargetMode="External"/><Relationship Id="rId_hyperlink_516" Type="http://schemas.openxmlformats.org/officeDocument/2006/relationships/hyperlink" Target="https://www.diodes.com/part/view/DMN1260UFA" TargetMode="External"/><Relationship Id="rId_hyperlink_517" Type="http://schemas.openxmlformats.org/officeDocument/2006/relationships/hyperlink" Target="https://www.diodes.com/datasheet/download/DMN12M3UCA6.pdf" TargetMode="External"/><Relationship Id="rId_hyperlink_518" Type="http://schemas.openxmlformats.org/officeDocument/2006/relationships/hyperlink" Target="https://www.diodes.com/part/view/DMN12M3UCA6" TargetMode="External"/><Relationship Id="rId_hyperlink_519" Type="http://schemas.openxmlformats.org/officeDocument/2006/relationships/hyperlink" Target="https://www.diodes.com/datasheet/download/DMN12M7UCA10.pdf" TargetMode="External"/><Relationship Id="rId_hyperlink_520" Type="http://schemas.openxmlformats.org/officeDocument/2006/relationships/hyperlink" Target="https://www.diodes.com/part/view/DMN12M7UCA10" TargetMode="External"/><Relationship Id="rId_hyperlink_521" Type="http://schemas.openxmlformats.org/officeDocument/2006/relationships/hyperlink" Target="https://www.diodes.com/datasheet/download/DMN12M8UCA10.pdf" TargetMode="External"/><Relationship Id="rId_hyperlink_522" Type="http://schemas.openxmlformats.org/officeDocument/2006/relationships/hyperlink" Target="https://www.diodes.com/part/view/DMN12M8UCA10" TargetMode="External"/><Relationship Id="rId_hyperlink_523" Type="http://schemas.openxmlformats.org/officeDocument/2006/relationships/hyperlink" Target="https://www.diodes.com/datasheet/download/DMN13H750S.pdf" TargetMode="External"/><Relationship Id="rId_hyperlink_524" Type="http://schemas.openxmlformats.org/officeDocument/2006/relationships/hyperlink" Target="https://www.diodes.com/part/view/DMN13H750S" TargetMode="External"/><Relationship Id="rId_hyperlink_525" Type="http://schemas.openxmlformats.org/officeDocument/2006/relationships/hyperlink" Target="https://www.diodes.com/datasheet/download/DMN13M9UCA6.pdf" TargetMode="External"/><Relationship Id="rId_hyperlink_526" Type="http://schemas.openxmlformats.org/officeDocument/2006/relationships/hyperlink" Target="https://www.diodes.com/part/view/DMN13M9UCA6" TargetMode="External"/><Relationship Id="rId_hyperlink_527" Type="http://schemas.openxmlformats.org/officeDocument/2006/relationships/hyperlink" Target="https://www.diodes.com/datasheet/download/DMN14M8UFDF.pdf" TargetMode="External"/><Relationship Id="rId_hyperlink_528" Type="http://schemas.openxmlformats.org/officeDocument/2006/relationships/hyperlink" Target="https://www.diodes.com/part/view/DMN14M8UFDF" TargetMode="External"/><Relationship Id="rId_hyperlink_529" Type="http://schemas.openxmlformats.org/officeDocument/2006/relationships/hyperlink" Target="https://www.diodes.com/datasheet/download/DMN15H310SE.pdf" TargetMode="External"/><Relationship Id="rId_hyperlink_530" Type="http://schemas.openxmlformats.org/officeDocument/2006/relationships/hyperlink" Target="https://www.diodes.com/part/view/DMN15H310SE" TargetMode="External"/><Relationship Id="rId_hyperlink_531" Type="http://schemas.openxmlformats.org/officeDocument/2006/relationships/hyperlink" Target="https://www.diodes.com/datasheet/download/DMN15H310SK3.pdf" TargetMode="External"/><Relationship Id="rId_hyperlink_532" Type="http://schemas.openxmlformats.org/officeDocument/2006/relationships/hyperlink" Target="https://www.diodes.com/part/view/DMN15H310SK3" TargetMode="External"/><Relationship Id="rId_hyperlink_533" Type="http://schemas.openxmlformats.org/officeDocument/2006/relationships/hyperlink" Target="https://www.diodes.com/datasheet/download/DMN15M3UCA6.pdf" TargetMode="External"/><Relationship Id="rId_hyperlink_534" Type="http://schemas.openxmlformats.org/officeDocument/2006/relationships/hyperlink" Target="https://www.diodes.com/part/view/DMN15M3UCA6" TargetMode="External"/><Relationship Id="rId_hyperlink_535" Type="http://schemas.openxmlformats.org/officeDocument/2006/relationships/hyperlink" Target="https://www.diodes.com/datasheet/download/DMN15M5UCA4.pdf" TargetMode="External"/><Relationship Id="rId_hyperlink_536" Type="http://schemas.openxmlformats.org/officeDocument/2006/relationships/hyperlink" Target="https://www.diodes.com/part/view/DMN15M5UCA4" TargetMode="External"/><Relationship Id="rId_hyperlink_537" Type="http://schemas.openxmlformats.org/officeDocument/2006/relationships/hyperlink" Target="https://www.diodes.com/datasheet/download/DMN15M5UCA6.pdf" TargetMode="External"/><Relationship Id="rId_hyperlink_538" Type="http://schemas.openxmlformats.org/officeDocument/2006/relationships/hyperlink" Target="https://www.diodes.com/part/view/DMN15M5UCA6" TargetMode="External"/><Relationship Id="rId_hyperlink_539" Type="http://schemas.openxmlformats.org/officeDocument/2006/relationships/hyperlink" Target="https://www.diodes.com/datasheet/download/DMN16M0UCA6.pdf" TargetMode="External"/><Relationship Id="rId_hyperlink_540" Type="http://schemas.openxmlformats.org/officeDocument/2006/relationships/hyperlink" Target="https://www.diodes.com/part/view/DMN16M0UCA6" TargetMode="External"/><Relationship Id="rId_hyperlink_541" Type="http://schemas.openxmlformats.org/officeDocument/2006/relationships/hyperlink" Target="https://www.diodes.com/datasheet/download/DMN16M7UCA6.pdf" TargetMode="External"/><Relationship Id="rId_hyperlink_542" Type="http://schemas.openxmlformats.org/officeDocument/2006/relationships/hyperlink" Target="https://www.diodes.com/part/view/DMN16M7UCA6" TargetMode="External"/><Relationship Id="rId_hyperlink_543" Type="http://schemas.openxmlformats.org/officeDocument/2006/relationships/hyperlink" Target="https://www.diodes.com/datasheet/download/DMN16M8UCA6.pdf" TargetMode="External"/><Relationship Id="rId_hyperlink_544" Type="http://schemas.openxmlformats.org/officeDocument/2006/relationships/hyperlink" Target="https://www.diodes.com/part/view/DMN16M8UCA6" TargetMode="External"/><Relationship Id="rId_hyperlink_545" Type="http://schemas.openxmlformats.org/officeDocument/2006/relationships/hyperlink" Target="https://www.diodes.com/datasheet/download/DMN16M9UCA6.pdf" TargetMode="External"/><Relationship Id="rId_hyperlink_546" Type="http://schemas.openxmlformats.org/officeDocument/2006/relationships/hyperlink" Target="https://www.diodes.com/part/view/DMN16M9UCA6" TargetMode="External"/><Relationship Id="rId_hyperlink_547" Type="http://schemas.openxmlformats.org/officeDocument/2006/relationships/hyperlink" Target="https://www.diodes.com/datasheet/download/DMN2002UFG.pdf" TargetMode="External"/><Relationship Id="rId_hyperlink_548" Type="http://schemas.openxmlformats.org/officeDocument/2006/relationships/hyperlink" Target="https://www.diodes.com/part/view/DMN2002UFG" TargetMode="External"/><Relationship Id="rId_hyperlink_549" Type="http://schemas.openxmlformats.org/officeDocument/2006/relationships/hyperlink" Target="https://www.diodes.com/datasheet/download/DMN2004DMK.pdf" TargetMode="External"/><Relationship Id="rId_hyperlink_550" Type="http://schemas.openxmlformats.org/officeDocument/2006/relationships/hyperlink" Target="https://www.diodes.com/part/view/DMN2004DMK" TargetMode="External"/><Relationship Id="rId_hyperlink_551" Type="http://schemas.openxmlformats.org/officeDocument/2006/relationships/hyperlink" Target="https://www.diodes.com/datasheet/download/DMN2004DWK.pdf" TargetMode="External"/><Relationship Id="rId_hyperlink_552" Type="http://schemas.openxmlformats.org/officeDocument/2006/relationships/hyperlink" Target="https://www.diodes.com/part/view/DMN2004DWK" TargetMode="External"/><Relationship Id="rId_hyperlink_553" Type="http://schemas.openxmlformats.org/officeDocument/2006/relationships/hyperlink" Target="https://www.diodes.com/datasheet/download/DMN2004K.pdf" TargetMode="External"/><Relationship Id="rId_hyperlink_554" Type="http://schemas.openxmlformats.org/officeDocument/2006/relationships/hyperlink" Target="https://www.diodes.com/part/view/DMN2004K" TargetMode="External"/><Relationship Id="rId_hyperlink_555" Type="http://schemas.openxmlformats.org/officeDocument/2006/relationships/hyperlink" Target="https://www.diodes.com/datasheet/download/DMN2004TK.pdf" TargetMode="External"/><Relationship Id="rId_hyperlink_556" Type="http://schemas.openxmlformats.org/officeDocument/2006/relationships/hyperlink" Target="https://www.diodes.com/part/view/DMN2004TK" TargetMode="External"/><Relationship Id="rId_hyperlink_557" Type="http://schemas.openxmlformats.org/officeDocument/2006/relationships/hyperlink" Target="https://www.diodes.com/datasheet/download/DMN2004VK.pdf" TargetMode="External"/><Relationship Id="rId_hyperlink_558" Type="http://schemas.openxmlformats.org/officeDocument/2006/relationships/hyperlink" Target="https://www.diodes.com/part/view/DMN2004VK" TargetMode="External"/><Relationship Id="rId_hyperlink_559" Type="http://schemas.openxmlformats.org/officeDocument/2006/relationships/hyperlink" Target="https://www.diodes.com/datasheet/download/DMN2004WK.pdf" TargetMode="External"/><Relationship Id="rId_hyperlink_560" Type="http://schemas.openxmlformats.org/officeDocument/2006/relationships/hyperlink" Target="https://www.diodes.com/part/view/DMN2004WK" TargetMode="External"/><Relationship Id="rId_hyperlink_561" Type="http://schemas.openxmlformats.org/officeDocument/2006/relationships/hyperlink" Target="https://www.diodes.com/datasheet/download/DMN2004WKQ.pdf" TargetMode="External"/><Relationship Id="rId_hyperlink_562" Type="http://schemas.openxmlformats.org/officeDocument/2006/relationships/hyperlink" Target="https://www.diodes.com/part/view/DMN2004WKQ" TargetMode="External"/><Relationship Id="rId_hyperlink_563" Type="http://schemas.openxmlformats.org/officeDocument/2006/relationships/hyperlink" Target="https://www.diodes.com/datasheet/download/DMN2005DLP4K.pdf" TargetMode="External"/><Relationship Id="rId_hyperlink_564" Type="http://schemas.openxmlformats.org/officeDocument/2006/relationships/hyperlink" Target="https://www.diodes.com/part/view/DMN2005DLP4K" TargetMode="External"/><Relationship Id="rId_hyperlink_565" Type="http://schemas.openxmlformats.org/officeDocument/2006/relationships/hyperlink" Target="https://www.diodes.com/datasheet/download/DMN2005K.pdf" TargetMode="External"/><Relationship Id="rId_hyperlink_566" Type="http://schemas.openxmlformats.org/officeDocument/2006/relationships/hyperlink" Target="https://www.diodes.com/part/view/DMN2005K" TargetMode="External"/><Relationship Id="rId_hyperlink_567" Type="http://schemas.openxmlformats.org/officeDocument/2006/relationships/hyperlink" Target="https://www.diodes.com/datasheet/download/DMN2005LP4K.pdf" TargetMode="External"/><Relationship Id="rId_hyperlink_568" Type="http://schemas.openxmlformats.org/officeDocument/2006/relationships/hyperlink" Target="https://www.diodes.com/part/view/DMN2005LP4K" TargetMode="External"/><Relationship Id="rId_hyperlink_569" Type="http://schemas.openxmlformats.org/officeDocument/2006/relationships/hyperlink" Target="https://www.diodes.com/datasheet/download/DMN2005LPK.pdf" TargetMode="External"/><Relationship Id="rId_hyperlink_570" Type="http://schemas.openxmlformats.org/officeDocument/2006/relationships/hyperlink" Target="https://www.diodes.com/part/view/DMN2005LPK" TargetMode="External"/><Relationship Id="rId_hyperlink_571" Type="http://schemas.openxmlformats.org/officeDocument/2006/relationships/hyperlink" Target="https://www.diodes.com/datasheet/download/DMN2005UFG.pdf" TargetMode="External"/><Relationship Id="rId_hyperlink_572" Type="http://schemas.openxmlformats.org/officeDocument/2006/relationships/hyperlink" Target="https://www.diodes.com/part/view/DMN2005UFG" TargetMode="External"/><Relationship Id="rId_hyperlink_573" Type="http://schemas.openxmlformats.org/officeDocument/2006/relationships/hyperlink" Target="https://www.diodes.com/datasheet/download/DMN2005UFGQ.pdf" TargetMode="External"/><Relationship Id="rId_hyperlink_574" Type="http://schemas.openxmlformats.org/officeDocument/2006/relationships/hyperlink" Target="https://www.diodes.com/part/view/DMN2005UFGQ" TargetMode="External"/><Relationship Id="rId_hyperlink_575" Type="http://schemas.openxmlformats.org/officeDocument/2006/relationships/hyperlink" Target="https://www.diodes.com/datasheet/download/DMN2005UPS.pdf" TargetMode="External"/><Relationship Id="rId_hyperlink_576" Type="http://schemas.openxmlformats.org/officeDocument/2006/relationships/hyperlink" Target="https://www.diodes.com/part/view/DMN2005UPS" TargetMode="External"/><Relationship Id="rId_hyperlink_577" Type="http://schemas.openxmlformats.org/officeDocument/2006/relationships/hyperlink" Target="https://www.diodes.com/datasheet/download/DMN2008LFU.pdf" TargetMode="External"/><Relationship Id="rId_hyperlink_578" Type="http://schemas.openxmlformats.org/officeDocument/2006/relationships/hyperlink" Target="https://www.diodes.com/part/view/DMN2008LFU" TargetMode="External"/><Relationship Id="rId_hyperlink_579" Type="http://schemas.openxmlformats.org/officeDocument/2006/relationships/hyperlink" Target="https://www.diodes.com/datasheet/download/DMN2009LSS.pdf" TargetMode="External"/><Relationship Id="rId_hyperlink_580" Type="http://schemas.openxmlformats.org/officeDocument/2006/relationships/hyperlink" Target="https://www.diodes.com/part/view/DMN2009LSS" TargetMode="External"/><Relationship Id="rId_hyperlink_581" Type="http://schemas.openxmlformats.org/officeDocument/2006/relationships/hyperlink" Target="https://www.diodes.com/datasheet/download/DMN2009UCA4.pdf" TargetMode="External"/><Relationship Id="rId_hyperlink_582" Type="http://schemas.openxmlformats.org/officeDocument/2006/relationships/hyperlink" Target="https://www.diodes.com/part/view/DMN2009UCA4" TargetMode="External"/><Relationship Id="rId_hyperlink_583" Type="http://schemas.openxmlformats.org/officeDocument/2006/relationships/hyperlink" Target="https://www.diodes.com/datasheet/download/DMN2009UFDF.pdf" TargetMode="External"/><Relationship Id="rId_hyperlink_584" Type="http://schemas.openxmlformats.org/officeDocument/2006/relationships/hyperlink" Target="https://www.diodes.com/part/view/DMN2009UFDF" TargetMode="External"/><Relationship Id="rId_hyperlink_585" Type="http://schemas.openxmlformats.org/officeDocument/2006/relationships/hyperlink" Target="https://www.diodes.com/datasheet/download/DMN2009USS.pdf" TargetMode="External"/><Relationship Id="rId_hyperlink_586" Type="http://schemas.openxmlformats.org/officeDocument/2006/relationships/hyperlink" Target="https://www.diodes.com/part/view/DMN2009USS" TargetMode="External"/><Relationship Id="rId_hyperlink_587" Type="http://schemas.openxmlformats.org/officeDocument/2006/relationships/hyperlink" Target="https://www.diodes.com/datasheet/download/DMN2011UCA6.pdf" TargetMode="External"/><Relationship Id="rId_hyperlink_588" Type="http://schemas.openxmlformats.org/officeDocument/2006/relationships/hyperlink" Target="https://www.diodes.com/part/view/DMN2011UCA6" TargetMode="External"/><Relationship Id="rId_hyperlink_589" Type="http://schemas.openxmlformats.org/officeDocument/2006/relationships/hyperlink" Target="https://www.diodes.com/datasheet/download/DMN2011UFDE.pdf" TargetMode="External"/><Relationship Id="rId_hyperlink_590" Type="http://schemas.openxmlformats.org/officeDocument/2006/relationships/hyperlink" Target="https://www.diodes.com/part/view/DMN2011UFDE" TargetMode="External"/><Relationship Id="rId_hyperlink_591" Type="http://schemas.openxmlformats.org/officeDocument/2006/relationships/hyperlink" Target="https://www.diodes.com/datasheet/download/DMN2011UFDF.pdf" TargetMode="External"/><Relationship Id="rId_hyperlink_592" Type="http://schemas.openxmlformats.org/officeDocument/2006/relationships/hyperlink" Target="https://www.diodes.com/part/view/DMN2011UFDF" TargetMode="External"/><Relationship Id="rId_hyperlink_593" Type="http://schemas.openxmlformats.org/officeDocument/2006/relationships/hyperlink" Target="https://www.diodes.com/datasheet/download/DMN2011UFX.pdf" TargetMode="External"/><Relationship Id="rId_hyperlink_594" Type="http://schemas.openxmlformats.org/officeDocument/2006/relationships/hyperlink" Target="https://www.diodes.com/part/view/DMN2011UFX" TargetMode="External"/><Relationship Id="rId_hyperlink_595" Type="http://schemas.openxmlformats.org/officeDocument/2006/relationships/hyperlink" Target="https://www.diodes.com/datasheet/download/DMN2011UTS.pdf" TargetMode="External"/><Relationship Id="rId_hyperlink_596" Type="http://schemas.openxmlformats.org/officeDocument/2006/relationships/hyperlink" Target="https://www.diodes.com/part/view/DMN2011UTS" TargetMode="External"/><Relationship Id="rId_hyperlink_597" Type="http://schemas.openxmlformats.org/officeDocument/2006/relationships/hyperlink" Target="https://www.diodes.com/datasheet/download/DMN2012UCA6.pdf" TargetMode="External"/><Relationship Id="rId_hyperlink_598" Type="http://schemas.openxmlformats.org/officeDocument/2006/relationships/hyperlink" Target="https://www.diodes.com/part/view/DMN2012UCA6" TargetMode="External"/><Relationship Id="rId_hyperlink_599" Type="http://schemas.openxmlformats.org/officeDocument/2006/relationships/hyperlink" Target="https://www.diodes.com/datasheet/download/DMN2013UFDE.pdf" TargetMode="External"/><Relationship Id="rId_hyperlink_600" Type="http://schemas.openxmlformats.org/officeDocument/2006/relationships/hyperlink" Target="https://www.diodes.com/part/view/DMN2013UFDE" TargetMode="External"/><Relationship Id="rId_hyperlink_601" Type="http://schemas.openxmlformats.org/officeDocument/2006/relationships/hyperlink" Target="https://www.diodes.com/datasheet/download/DMN2013UFDEQ.pdf" TargetMode="External"/><Relationship Id="rId_hyperlink_602" Type="http://schemas.openxmlformats.org/officeDocument/2006/relationships/hyperlink" Target="https://www.diodes.com/part/view/DMN2013UFDEQ" TargetMode="External"/><Relationship Id="rId_hyperlink_603" Type="http://schemas.openxmlformats.org/officeDocument/2006/relationships/hyperlink" Target="https://www.diodes.com/datasheet/download/DMN2013UFX.pdf" TargetMode="External"/><Relationship Id="rId_hyperlink_604" Type="http://schemas.openxmlformats.org/officeDocument/2006/relationships/hyperlink" Target="https://www.diodes.com/part/view/DMN2013UFX" TargetMode="External"/><Relationship Id="rId_hyperlink_605" Type="http://schemas.openxmlformats.org/officeDocument/2006/relationships/hyperlink" Target="https://www.diodes.com/datasheet/download/DMN2014LHAB.pdf" TargetMode="External"/><Relationship Id="rId_hyperlink_606" Type="http://schemas.openxmlformats.org/officeDocument/2006/relationships/hyperlink" Target="https://www.diodes.com/part/view/DMN2014LHAB" TargetMode="External"/><Relationship Id="rId_hyperlink_607" Type="http://schemas.openxmlformats.org/officeDocument/2006/relationships/hyperlink" Target="https://www.diodes.com/datasheet/download/DMN2015UFDE.pdf" TargetMode="External"/><Relationship Id="rId_hyperlink_608" Type="http://schemas.openxmlformats.org/officeDocument/2006/relationships/hyperlink" Target="https://www.diodes.com/part/view/DMN2015UFDE" TargetMode="External"/><Relationship Id="rId_hyperlink_609" Type="http://schemas.openxmlformats.org/officeDocument/2006/relationships/hyperlink" Target="https://www.diodes.com/datasheet/download/DMN2015UFDF.pdf" TargetMode="External"/><Relationship Id="rId_hyperlink_610" Type="http://schemas.openxmlformats.org/officeDocument/2006/relationships/hyperlink" Target="https://www.diodes.com/part/view/DMN2015UFDF" TargetMode="External"/><Relationship Id="rId_hyperlink_611" Type="http://schemas.openxmlformats.org/officeDocument/2006/relationships/hyperlink" Target="https://www.diodes.com/datasheet/download/DMN2016LFG.pdf" TargetMode="External"/><Relationship Id="rId_hyperlink_612" Type="http://schemas.openxmlformats.org/officeDocument/2006/relationships/hyperlink" Target="https://www.diodes.com/part/view/DMN2016LFG" TargetMode="External"/><Relationship Id="rId_hyperlink_613" Type="http://schemas.openxmlformats.org/officeDocument/2006/relationships/hyperlink" Target="https://www.diodes.com/datasheet/download/DMN2016LHAB.pdf" TargetMode="External"/><Relationship Id="rId_hyperlink_614" Type="http://schemas.openxmlformats.org/officeDocument/2006/relationships/hyperlink" Target="https://www.diodes.com/part/view/DMN2016LHAB" TargetMode="External"/><Relationship Id="rId_hyperlink_615" Type="http://schemas.openxmlformats.org/officeDocument/2006/relationships/hyperlink" Target="https://www.diodes.com/datasheet/download/DMN2016UFX.pdf" TargetMode="External"/><Relationship Id="rId_hyperlink_616" Type="http://schemas.openxmlformats.org/officeDocument/2006/relationships/hyperlink" Target="https://www.diodes.com/part/view/DMN2016UFX" TargetMode="External"/><Relationship Id="rId_hyperlink_617" Type="http://schemas.openxmlformats.org/officeDocument/2006/relationships/hyperlink" Target="https://www.diodes.com/datasheet/download/DMN2016UTS.pdf" TargetMode="External"/><Relationship Id="rId_hyperlink_618" Type="http://schemas.openxmlformats.org/officeDocument/2006/relationships/hyperlink" Target="https://www.diodes.com/part/view/DMN2016UTS" TargetMode="External"/><Relationship Id="rId_hyperlink_619" Type="http://schemas.openxmlformats.org/officeDocument/2006/relationships/hyperlink" Target="https://www.diodes.com/datasheet/download/DMN2019UTS.pdf" TargetMode="External"/><Relationship Id="rId_hyperlink_620" Type="http://schemas.openxmlformats.org/officeDocument/2006/relationships/hyperlink" Target="https://www.diodes.com/part/view/DMN2019UTS" TargetMode="External"/><Relationship Id="rId_hyperlink_621" Type="http://schemas.openxmlformats.org/officeDocument/2006/relationships/hyperlink" Target="https://www.diodes.com/datasheet/download/DMN2020LSN.pdf" TargetMode="External"/><Relationship Id="rId_hyperlink_622" Type="http://schemas.openxmlformats.org/officeDocument/2006/relationships/hyperlink" Target="https://www.diodes.com/part/view/DMN2020LSN" TargetMode="External"/><Relationship Id="rId_hyperlink_623" Type="http://schemas.openxmlformats.org/officeDocument/2006/relationships/hyperlink" Target="https://www.diodes.com/datasheet/download/DMN2020UFCL.pdf" TargetMode="External"/><Relationship Id="rId_hyperlink_624" Type="http://schemas.openxmlformats.org/officeDocument/2006/relationships/hyperlink" Target="https://www.diodes.com/part/view/DMN2020UFCL" TargetMode="External"/><Relationship Id="rId_hyperlink_625" Type="http://schemas.openxmlformats.org/officeDocument/2006/relationships/hyperlink" Target="https://www.diodes.com/datasheet/download/DMN2022UCA4.pdf" TargetMode="External"/><Relationship Id="rId_hyperlink_626" Type="http://schemas.openxmlformats.org/officeDocument/2006/relationships/hyperlink" Target="https://www.diodes.com/part/view/DMN2022UCA4" TargetMode="External"/><Relationship Id="rId_hyperlink_627" Type="http://schemas.openxmlformats.org/officeDocument/2006/relationships/hyperlink" Target="https://www.diodes.com/datasheet/download/DMN2022UFDF.pdf" TargetMode="External"/><Relationship Id="rId_hyperlink_628" Type="http://schemas.openxmlformats.org/officeDocument/2006/relationships/hyperlink" Target="https://www.diodes.com/part/view/DMN2022UFDF" TargetMode="External"/><Relationship Id="rId_hyperlink_629" Type="http://schemas.openxmlformats.org/officeDocument/2006/relationships/hyperlink" Target="https://www.diodes.com/datasheet/download/DMN2022UNS.pdf" TargetMode="External"/><Relationship Id="rId_hyperlink_630" Type="http://schemas.openxmlformats.org/officeDocument/2006/relationships/hyperlink" Target="https://www.diodes.com/part/view/DMN2022UNS" TargetMode="External"/><Relationship Id="rId_hyperlink_631" Type="http://schemas.openxmlformats.org/officeDocument/2006/relationships/hyperlink" Target="https://www.diodes.com/datasheet/download/DMN2023UCB4.pdf" TargetMode="External"/><Relationship Id="rId_hyperlink_632" Type="http://schemas.openxmlformats.org/officeDocument/2006/relationships/hyperlink" Target="https://www.diodes.com/part/view/DMN2023UCB4" TargetMode="External"/><Relationship Id="rId_hyperlink_633" Type="http://schemas.openxmlformats.org/officeDocument/2006/relationships/hyperlink" Target="https://www.diodes.com/datasheet/download/DMN2024LCA4.pdf" TargetMode="External"/><Relationship Id="rId_hyperlink_634" Type="http://schemas.openxmlformats.org/officeDocument/2006/relationships/hyperlink" Target="https://www.diodes.com/part/view/DMN2024LCA4" TargetMode="External"/><Relationship Id="rId_hyperlink_635" Type="http://schemas.openxmlformats.org/officeDocument/2006/relationships/hyperlink" Target="https://www.diodes.com/datasheet/download/DMN2024U.pdf" TargetMode="External"/><Relationship Id="rId_hyperlink_636" Type="http://schemas.openxmlformats.org/officeDocument/2006/relationships/hyperlink" Target="https://www.diodes.com/part/view/DMN2024U" TargetMode="External"/><Relationship Id="rId_hyperlink_637" Type="http://schemas.openxmlformats.org/officeDocument/2006/relationships/hyperlink" Target="https://www.diodes.com/datasheet/download/DMN2024UDH.pdf" TargetMode="External"/><Relationship Id="rId_hyperlink_638" Type="http://schemas.openxmlformats.org/officeDocument/2006/relationships/hyperlink" Target="https://www.diodes.com/part/view/DMN2024UDH" TargetMode="External"/><Relationship Id="rId_hyperlink_639" Type="http://schemas.openxmlformats.org/officeDocument/2006/relationships/hyperlink" Target="https://www.diodes.com/datasheet/download/DMN2024UFDF.pdf" TargetMode="External"/><Relationship Id="rId_hyperlink_640" Type="http://schemas.openxmlformats.org/officeDocument/2006/relationships/hyperlink" Target="https://www.diodes.com/part/view/DMN2024UFDF" TargetMode="External"/><Relationship Id="rId_hyperlink_641" Type="http://schemas.openxmlformats.org/officeDocument/2006/relationships/hyperlink" Target="https://www.diodes.com/datasheet/download/DMN2024UFU.pdf" TargetMode="External"/><Relationship Id="rId_hyperlink_642" Type="http://schemas.openxmlformats.org/officeDocument/2006/relationships/hyperlink" Target="https://www.diodes.com/part/view/DMN2024UFU" TargetMode="External"/><Relationship Id="rId_hyperlink_643" Type="http://schemas.openxmlformats.org/officeDocument/2006/relationships/hyperlink" Target="https://www.diodes.com/datasheet/download/DMN2024UFX.pdf" TargetMode="External"/><Relationship Id="rId_hyperlink_644" Type="http://schemas.openxmlformats.org/officeDocument/2006/relationships/hyperlink" Target="https://www.diodes.com/part/view/DMN2024UFX" TargetMode="External"/><Relationship Id="rId_hyperlink_645" Type="http://schemas.openxmlformats.org/officeDocument/2006/relationships/hyperlink" Target="https://www.diodes.com/datasheet/download/DMN2024UQ.pdf" TargetMode="External"/><Relationship Id="rId_hyperlink_646" Type="http://schemas.openxmlformats.org/officeDocument/2006/relationships/hyperlink" Target="https://www.diodes.com/part/view/DMN2024UQ" TargetMode="External"/><Relationship Id="rId_hyperlink_647" Type="http://schemas.openxmlformats.org/officeDocument/2006/relationships/hyperlink" Target="https://www.diodes.com/datasheet/download/DMN2024UTS.pdf" TargetMode="External"/><Relationship Id="rId_hyperlink_648" Type="http://schemas.openxmlformats.org/officeDocument/2006/relationships/hyperlink" Target="https://www.diodes.com/part/view/DMN2024UTS" TargetMode="External"/><Relationship Id="rId_hyperlink_649" Type="http://schemas.openxmlformats.org/officeDocument/2006/relationships/hyperlink" Target="https://www.diodes.com/datasheet/download/DMN2024UVT.pdf" TargetMode="External"/><Relationship Id="rId_hyperlink_650" Type="http://schemas.openxmlformats.org/officeDocument/2006/relationships/hyperlink" Target="https://www.diodes.com/part/view/DMN2024UVT" TargetMode="External"/><Relationship Id="rId_hyperlink_651" Type="http://schemas.openxmlformats.org/officeDocument/2006/relationships/hyperlink" Target="https://www.diodes.com/datasheet/download/DMN2024UVTQ.pdf" TargetMode="External"/><Relationship Id="rId_hyperlink_652" Type="http://schemas.openxmlformats.org/officeDocument/2006/relationships/hyperlink" Target="https://www.diodes.com/part/view/DMN2024UVTQ" TargetMode="External"/><Relationship Id="rId_hyperlink_653" Type="http://schemas.openxmlformats.org/officeDocument/2006/relationships/hyperlink" Target="https://www.diodes.com/datasheet/download/DMN2025U.pdf" TargetMode="External"/><Relationship Id="rId_hyperlink_654" Type="http://schemas.openxmlformats.org/officeDocument/2006/relationships/hyperlink" Target="https://www.diodes.com/part/view/DMN2025U" TargetMode="External"/><Relationship Id="rId_hyperlink_655" Type="http://schemas.openxmlformats.org/officeDocument/2006/relationships/hyperlink" Target="https://www.diodes.com/datasheet/download/DMN2025UFDB.pdf" TargetMode="External"/><Relationship Id="rId_hyperlink_656" Type="http://schemas.openxmlformats.org/officeDocument/2006/relationships/hyperlink" Target="https://www.diodes.com/part/view/DMN2025UFDB" TargetMode="External"/><Relationship Id="rId_hyperlink_657" Type="http://schemas.openxmlformats.org/officeDocument/2006/relationships/hyperlink" Target="https://www.diodes.com/datasheet/download/DMN2025UFDF.pdf" TargetMode="External"/><Relationship Id="rId_hyperlink_658" Type="http://schemas.openxmlformats.org/officeDocument/2006/relationships/hyperlink" Target="https://www.diodes.com/part/view/DMN2025UFDF" TargetMode="External"/><Relationship Id="rId_hyperlink_659" Type="http://schemas.openxmlformats.org/officeDocument/2006/relationships/hyperlink" Target="https://www.diodes.com/datasheet/download/DMN2026UVT.pdf" TargetMode="External"/><Relationship Id="rId_hyperlink_660" Type="http://schemas.openxmlformats.org/officeDocument/2006/relationships/hyperlink" Target="https://www.diodes.com/part/view/DMN2026UVT" TargetMode="External"/><Relationship Id="rId_hyperlink_661" Type="http://schemas.openxmlformats.org/officeDocument/2006/relationships/hyperlink" Target="https://www.diodes.com/datasheet/download/DMN2027UPS.pdf" TargetMode="External"/><Relationship Id="rId_hyperlink_662" Type="http://schemas.openxmlformats.org/officeDocument/2006/relationships/hyperlink" Target="https://www.diodes.com/part/view/DMN2027UPS" TargetMode="External"/><Relationship Id="rId_hyperlink_663" Type="http://schemas.openxmlformats.org/officeDocument/2006/relationships/hyperlink" Target="https://www.diodes.com/datasheet/download/DMN2027USS.pdf" TargetMode="External"/><Relationship Id="rId_hyperlink_664" Type="http://schemas.openxmlformats.org/officeDocument/2006/relationships/hyperlink" Target="https://www.diodes.com/part/view/DMN2027USS" TargetMode="External"/><Relationship Id="rId_hyperlink_665" Type="http://schemas.openxmlformats.org/officeDocument/2006/relationships/hyperlink" Target="https://www.diodes.com/datasheet/download/DMN2028UFDF.pdf" TargetMode="External"/><Relationship Id="rId_hyperlink_666" Type="http://schemas.openxmlformats.org/officeDocument/2006/relationships/hyperlink" Target="https://www.diodes.com/part/view/DMN2028UFDF" TargetMode="External"/><Relationship Id="rId_hyperlink_667" Type="http://schemas.openxmlformats.org/officeDocument/2006/relationships/hyperlink" Target="https://www.diodes.com/datasheet/download/DMN2028UFDH.pdf" TargetMode="External"/><Relationship Id="rId_hyperlink_668" Type="http://schemas.openxmlformats.org/officeDocument/2006/relationships/hyperlink" Target="https://www.diodes.com/part/view/DMN2028UFDH" TargetMode="External"/><Relationship Id="rId_hyperlink_669" Type="http://schemas.openxmlformats.org/officeDocument/2006/relationships/hyperlink" Target="https://www.diodes.com/datasheet/download/DMN2028UFU.pdf" TargetMode="External"/><Relationship Id="rId_hyperlink_670" Type="http://schemas.openxmlformats.org/officeDocument/2006/relationships/hyperlink" Target="https://www.diodes.com/part/view/DMN2028UFU" TargetMode="External"/><Relationship Id="rId_hyperlink_671" Type="http://schemas.openxmlformats.org/officeDocument/2006/relationships/hyperlink" Target="https://www.diodes.com/datasheet/download/DMN2028USS.pdf" TargetMode="External"/><Relationship Id="rId_hyperlink_672" Type="http://schemas.openxmlformats.org/officeDocument/2006/relationships/hyperlink" Target="https://www.diodes.com/part/view/DMN2028USS" TargetMode="External"/><Relationship Id="rId_hyperlink_673" Type="http://schemas.openxmlformats.org/officeDocument/2006/relationships/hyperlink" Target="https://www.diodes.com/datasheet/download/DMN2028UVT.pdf" TargetMode="External"/><Relationship Id="rId_hyperlink_674" Type="http://schemas.openxmlformats.org/officeDocument/2006/relationships/hyperlink" Target="https://www.diodes.com/part/view/DMN2028UVT" TargetMode="External"/><Relationship Id="rId_hyperlink_675" Type="http://schemas.openxmlformats.org/officeDocument/2006/relationships/hyperlink" Target="https://www.diodes.com/datasheet/download/DMN2029USD.pdf" TargetMode="External"/><Relationship Id="rId_hyperlink_676" Type="http://schemas.openxmlformats.org/officeDocument/2006/relationships/hyperlink" Target="https://www.diodes.com/part/view/DMN2029USD" TargetMode="External"/><Relationship Id="rId_hyperlink_677" Type="http://schemas.openxmlformats.org/officeDocument/2006/relationships/hyperlink" Target="https://www.diodes.com/datasheet/download/DMN2029UVT.pdf" TargetMode="External"/><Relationship Id="rId_hyperlink_678" Type="http://schemas.openxmlformats.org/officeDocument/2006/relationships/hyperlink" Target="https://www.diodes.com/part/view/DMN2029UVT" TargetMode="External"/><Relationship Id="rId_hyperlink_679" Type="http://schemas.openxmlformats.org/officeDocument/2006/relationships/hyperlink" Target="https://www.diodes.com/datasheet/download/DMN2030UCA4.pdf" TargetMode="External"/><Relationship Id="rId_hyperlink_680" Type="http://schemas.openxmlformats.org/officeDocument/2006/relationships/hyperlink" Target="https://www.diodes.com/part/view/DMN2030UCA4" TargetMode="External"/><Relationship Id="rId_hyperlink_681" Type="http://schemas.openxmlformats.org/officeDocument/2006/relationships/hyperlink" Target="https://www.diodes.com/datasheet/download/DMN2036UCB4.pdf" TargetMode="External"/><Relationship Id="rId_hyperlink_682" Type="http://schemas.openxmlformats.org/officeDocument/2006/relationships/hyperlink" Target="https://www.diodes.com/part/view/DMN2036UCB4" TargetMode="External"/><Relationship Id="rId_hyperlink_683" Type="http://schemas.openxmlformats.org/officeDocument/2006/relationships/hyperlink" Target="https://www.diodes.com/datasheet/download/DMN2040LTS.pdf" TargetMode="External"/><Relationship Id="rId_hyperlink_684" Type="http://schemas.openxmlformats.org/officeDocument/2006/relationships/hyperlink" Target="https://www.diodes.com/part/view/DMN2040LTS" TargetMode="External"/><Relationship Id="rId_hyperlink_685" Type="http://schemas.openxmlformats.org/officeDocument/2006/relationships/hyperlink" Target="https://www.diodes.com/datasheet/download/DMN2040U+.pdf" TargetMode="External"/><Relationship Id="rId_hyperlink_686" Type="http://schemas.openxmlformats.org/officeDocument/2006/relationships/hyperlink" Target="https://www.diodes.com/part/view/DMN2040U" TargetMode="External"/><Relationship Id="rId_hyperlink_687" Type="http://schemas.openxmlformats.org/officeDocument/2006/relationships/hyperlink" Target="https://www.diodes.com/datasheet/download/DMN2040UQ.pdf" TargetMode="External"/><Relationship Id="rId_hyperlink_688" Type="http://schemas.openxmlformats.org/officeDocument/2006/relationships/hyperlink" Target="https://www.diodes.com/part/view/DMN2040UQ" TargetMode="External"/><Relationship Id="rId_hyperlink_689" Type="http://schemas.openxmlformats.org/officeDocument/2006/relationships/hyperlink" Target="https://www.diodes.com/datasheet/download/DMN2040UVT.pdf" TargetMode="External"/><Relationship Id="rId_hyperlink_690" Type="http://schemas.openxmlformats.org/officeDocument/2006/relationships/hyperlink" Target="https://www.diodes.com/part/view/DMN2040UVT" TargetMode="External"/><Relationship Id="rId_hyperlink_691" Type="http://schemas.openxmlformats.org/officeDocument/2006/relationships/hyperlink" Target="https://www.diodes.com/datasheet/download/DMN2041LSD.pdf" TargetMode="External"/><Relationship Id="rId_hyperlink_692" Type="http://schemas.openxmlformats.org/officeDocument/2006/relationships/hyperlink" Target="https://www.diodes.com/part/view/DMN2041LSD" TargetMode="External"/><Relationship Id="rId_hyperlink_693" Type="http://schemas.openxmlformats.org/officeDocument/2006/relationships/hyperlink" Target="https://www.diodes.com/datasheet/download/DMN2041UFDB.pdf" TargetMode="External"/><Relationship Id="rId_hyperlink_694" Type="http://schemas.openxmlformats.org/officeDocument/2006/relationships/hyperlink" Target="https://www.diodes.com/part/view/DMN2041UFDB" TargetMode="External"/><Relationship Id="rId_hyperlink_695" Type="http://schemas.openxmlformats.org/officeDocument/2006/relationships/hyperlink" Target="https://www.diodes.com/datasheet/download/DMN2041UVT.pdf" TargetMode="External"/><Relationship Id="rId_hyperlink_696" Type="http://schemas.openxmlformats.org/officeDocument/2006/relationships/hyperlink" Target="https://www.diodes.com/part/view/DMN2041UVT" TargetMode="External"/><Relationship Id="rId_hyperlink_697" Type="http://schemas.openxmlformats.org/officeDocument/2006/relationships/hyperlink" Target="https://www.diodes.com/datasheet/download/DMN2044UCB4.pdf" TargetMode="External"/><Relationship Id="rId_hyperlink_698" Type="http://schemas.openxmlformats.org/officeDocument/2006/relationships/hyperlink" Target="https://www.diodes.com/part/view/DMN2044UCB4" TargetMode="External"/><Relationship Id="rId_hyperlink_699" Type="http://schemas.openxmlformats.org/officeDocument/2006/relationships/hyperlink" Target="https://www.diodes.com/datasheet/download/DMN2046U.pdf" TargetMode="External"/><Relationship Id="rId_hyperlink_700" Type="http://schemas.openxmlformats.org/officeDocument/2006/relationships/hyperlink" Target="https://www.diodes.com/part/view/DMN2046U" TargetMode="External"/><Relationship Id="rId_hyperlink_701" Type="http://schemas.openxmlformats.org/officeDocument/2006/relationships/hyperlink" Target="https://www.diodes.com/datasheet/download/DMN2046UVT.pdf" TargetMode="External"/><Relationship Id="rId_hyperlink_702" Type="http://schemas.openxmlformats.org/officeDocument/2006/relationships/hyperlink" Target="https://www.diodes.com/part/view/DMN2046UVT" TargetMode="External"/><Relationship Id="rId_hyperlink_703" Type="http://schemas.openxmlformats.org/officeDocument/2006/relationships/hyperlink" Target="https://www.diodes.com/datasheet/download/DMN2046UW.pdf" TargetMode="External"/><Relationship Id="rId_hyperlink_704" Type="http://schemas.openxmlformats.org/officeDocument/2006/relationships/hyperlink" Target="https://www.diodes.com/part/view/DMN2046UW" TargetMode="External"/><Relationship Id="rId_hyperlink_705" Type="http://schemas.openxmlformats.org/officeDocument/2006/relationships/hyperlink" Target="https://www.diodes.com/datasheet/download/DMN2050L.pdf" TargetMode="External"/><Relationship Id="rId_hyperlink_706" Type="http://schemas.openxmlformats.org/officeDocument/2006/relationships/hyperlink" Target="https://www.diodes.com/part/view/DMN2050L" TargetMode="External"/><Relationship Id="rId_hyperlink_707" Type="http://schemas.openxmlformats.org/officeDocument/2006/relationships/hyperlink" Target="https://www.diodes.com/datasheet/download/DMN2050LFDB.pdf" TargetMode="External"/><Relationship Id="rId_hyperlink_708" Type="http://schemas.openxmlformats.org/officeDocument/2006/relationships/hyperlink" Target="https://www.diodes.com/part/view/DMN2050LFDB" TargetMode="External"/><Relationship Id="rId_hyperlink_709" Type="http://schemas.openxmlformats.org/officeDocument/2006/relationships/hyperlink" Target="https://www.diodes.com/datasheet/download/DMN2050LQ.pdf" TargetMode="External"/><Relationship Id="rId_hyperlink_710" Type="http://schemas.openxmlformats.org/officeDocument/2006/relationships/hyperlink" Target="https://www.diodes.com/part/view/DMN2050LQ" TargetMode="External"/><Relationship Id="rId_hyperlink_711" Type="http://schemas.openxmlformats.org/officeDocument/2006/relationships/hyperlink" Target="https://www.diodes.com/datasheet/download/DMN2053U.pdf" TargetMode="External"/><Relationship Id="rId_hyperlink_712" Type="http://schemas.openxmlformats.org/officeDocument/2006/relationships/hyperlink" Target="https://www.diodes.com/part/view/DMN2053U" TargetMode="External"/><Relationship Id="rId_hyperlink_713" Type="http://schemas.openxmlformats.org/officeDocument/2006/relationships/hyperlink" Target="https://www.diodes.com/datasheet/download/DMN2053UFDB.pdf" TargetMode="External"/><Relationship Id="rId_hyperlink_714" Type="http://schemas.openxmlformats.org/officeDocument/2006/relationships/hyperlink" Target="https://www.diodes.com/part/view/DMN2053UFDB" TargetMode="External"/><Relationship Id="rId_hyperlink_715" Type="http://schemas.openxmlformats.org/officeDocument/2006/relationships/hyperlink" Target="https://www.diodes.com/datasheet/download/DMN2053UFDBQ.pdf" TargetMode="External"/><Relationship Id="rId_hyperlink_716" Type="http://schemas.openxmlformats.org/officeDocument/2006/relationships/hyperlink" Target="https://www.diodes.com/part/view/DMN2053UFDBQ" TargetMode="External"/><Relationship Id="rId_hyperlink_717" Type="http://schemas.openxmlformats.org/officeDocument/2006/relationships/hyperlink" Target="https://www.diodes.com/datasheet/download/DMN2053UQ.pdf" TargetMode="External"/><Relationship Id="rId_hyperlink_718" Type="http://schemas.openxmlformats.org/officeDocument/2006/relationships/hyperlink" Target="https://www.diodes.com/part/view/DMN2053UQ" TargetMode="External"/><Relationship Id="rId_hyperlink_719" Type="http://schemas.openxmlformats.org/officeDocument/2006/relationships/hyperlink" Target="https://www.diodes.com/datasheet/download/DMN2053UVT.pdf" TargetMode="External"/><Relationship Id="rId_hyperlink_720" Type="http://schemas.openxmlformats.org/officeDocument/2006/relationships/hyperlink" Target="https://www.diodes.com/part/view/DMN2053UVT" TargetMode="External"/><Relationship Id="rId_hyperlink_721" Type="http://schemas.openxmlformats.org/officeDocument/2006/relationships/hyperlink" Target="https://www.diodes.com/datasheet/download/DMN2053UVTQ.pdf" TargetMode="External"/><Relationship Id="rId_hyperlink_722" Type="http://schemas.openxmlformats.org/officeDocument/2006/relationships/hyperlink" Target="https://www.diodes.com/part/view/DMN2053UVTQ" TargetMode="External"/><Relationship Id="rId_hyperlink_723" Type="http://schemas.openxmlformats.org/officeDocument/2006/relationships/hyperlink" Target="https://www.diodes.com/datasheet/download/DMN2053UW.pdf" TargetMode="External"/><Relationship Id="rId_hyperlink_724" Type="http://schemas.openxmlformats.org/officeDocument/2006/relationships/hyperlink" Target="https://www.diodes.com/part/view/DMN2053UW" TargetMode="External"/><Relationship Id="rId_hyperlink_725" Type="http://schemas.openxmlformats.org/officeDocument/2006/relationships/hyperlink" Target="https://www.diodes.com/datasheet/download/DMN2053UWQ.pdf" TargetMode="External"/><Relationship Id="rId_hyperlink_726" Type="http://schemas.openxmlformats.org/officeDocument/2006/relationships/hyperlink" Target="https://www.diodes.com/part/view/DMN2053UWQ" TargetMode="External"/><Relationship Id="rId_hyperlink_727" Type="http://schemas.openxmlformats.org/officeDocument/2006/relationships/hyperlink" Target="https://www.diodes.com/datasheet/download/DMN2055U.pdf" TargetMode="External"/><Relationship Id="rId_hyperlink_728" Type="http://schemas.openxmlformats.org/officeDocument/2006/relationships/hyperlink" Target="https://www.diodes.com/part/view/DMN2055U" TargetMode="External"/><Relationship Id="rId_hyperlink_729" Type="http://schemas.openxmlformats.org/officeDocument/2006/relationships/hyperlink" Target="https://www.diodes.com/datasheet/download/DMN2055UQ.pdf" TargetMode="External"/><Relationship Id="rId_hyperlink_730" Type="http://schemas.openxmlformats.org/officeDocument/2006/relationships/hyperlink" Target="https://www.diodes.com/part/view/DMN2055UQ" TargetMode="External"/><Relationship Id="rId_hyperlink_731" Type="http://schemas.openxmlformats.org/officeDocument/2006/relationships/hyperlink" Target="https://www.diodes.com/datasheet/download/DMN2055UW.pdf" TargetMode="External"/><Relationship Id="rId_hyperlink_732" Type="http://schemas.openxmlformats.org/officeDocument/2006/relationships/hyperlink" Target="https://www.diodes.com/part/view/DMN2055UW" TargetMode="External"/><Relationship Id="rId_hyperlink_733" Type="http://schemas.openxmlformats.org/officeDocument/2006/relationships/hyperlink" Target="https://www.diodes.com/datasheet/download/DMN2055UWQ.pdf" TargetMode="External"/><Relationship Id="rId_hyperlink_734" Type="http://schemas.openxmlformats.org/officeDocument/2006/relationships/hyperlink" Target="https://www.diodes.com/part/view/DMN2055UWQ" TargetMode="External"/><Relationship Id="rId_hyperlink_735" Type="http://schemas.openxmlformats.org/officeDocument/2006/relationships/hyperlink" Target="https://www.diodes.com/datasheet/download/DMN2056U.pdf" TargetMode="External"/><Relationship Id="rId_hyperlink_736" Type="http://schemas.openxmlformats.org/officeDocument/2006/relationships/hyperlink" Target="https://www.diodes.com/part/view/DMN2056U" TargetMode="External"/><Relationship Id="rId_hyperlink_737" Type="http://schemas.openxmlformats.org/officeDocument/2006/relationships/hyperlink" Target="https://www.diodes.com/datasheet/download/DMN2058U.pdf" TargetMode="External"/><Relationship Id="rId_hyperlink_738" Type="http://schemas.openxmlformats.org/officeDocument/2006/relationships/hyperlink" Target="https://www.diodes.com/part/view/DMN2058U" TargetMode="External"/><Relationship Id="rId_hyperlink_739" Type="http://schemas.openxmlformats.org/officeDocument/2006/relationships/hyperlink" Target="https://www.diodes.com/datasheet/download/DMN2058UW.pdf" TargetMode="External"/><Relationship Id="rId_hyperlink_740" Type="http://schemas.openxmlformats.org/officeDocument/2006/relationships/hyperlink" Target="https://www.diodes.com/part/view/DMN2058UW" TargetMode="External"/><Relationship Id="rId_hyperlink_741" Type="http://schemas.openxmlformats.org/officeDocument/2006/relationships/hyperlink" Target="https://www.diodes.com/datasheet/download/DMN2075U.pdf" TargetMode="External"/><Relationship Id="rId_hyperlink_742" Type="http://schemas.openxmlformats.org/officeDocument/2006/relationships/hyperlink" Target="https://www.diodes.com/part/view/DMN2075U" TargetMode="External"/><Relationship Id="rId_hyperlink_743" Type="http://schemas.openxmlformats.org/officeDocument/2006/relationships/hyperlink" Target="https://www.diodes.com/datasheet/download/DMN2075UDW.pdf" TargetMode="External"/><Relationship Id="rId_hyperlink_744" Type="http://schemas.openxmlformats.org/officeDocument/2006/relationships/hyperlink" Target="https://www.diodes.com/part/view/DMN2075UDW" TargetMode="External"/><Relationship Id="rId_hyperlink_745" Type="http://schemas.openxmlformats.org/officeDocument/2006/relationships/hyperlink" Target="https://www.diodes.com/datasheet/download/DMN2080UCB4.pdf" TargetMode="External"/><Relationship Id="rId_hyperlink_746" Type="http://schemas.openxmlformats.org/officeDocument/2006/relationships/hyperlink" Target="https://www.diodes.com/part/view/DMN2080UCB4" TargetMode="External"/><Relationship Id="rId_hyperlink_747" Type="http://schemas.openxmlformats.org/officeDocument/2006/relationships/hyperlink" Target="https://www.diodes.com/datasheet/download/DMN2100UDM.pdf" TargetMode="External"/><Relationship Id="rId_hyperlink_748" Type="http://schemas.openxmlformats.org/officeDocument/2006/relationships/hyperlink" Target="https://www.diodes.com/part/view/DMN2100UDM" TargetMode="External"/><Relationship Id="rId_hyperlink_749" Type="http://schemas.openxmlformats.org/officeDocument/2006/relationships/hyperlink" Target="https://www.diodes.com/datasheet/download/DMN2120UFCL.pdf" TargetMode="External"/><Relationship Id="rId_hyperlink_750" Type="http://schemas.openxmlformats.org/officeDocument/2006/relationships/hyperlink" Target="https://www.diodes.com/part/view/DMN2120UFCL" TargetMode="External"/><Relationship Id="rId_hyperlink_751" Type="http://schemas.openxmlformats.org/officeDocument/2006/relationships/hyperlink" Target="https://www.diodes.com/datasheet/download/DMN21D1UDA.pdf" TargetMode="External"/><Relationship Id="rId_hyperlink_752" Type="http://schemas.openxmlformats.org/officeDocument/2006/relationships/hyperlink" Target="https://www.diodes.com/part/view/DMN21D1UDA" TargetMode="External"/><Relationship Id="rId_hyperlink_753" Type="http://schemas.openxmlformats.org/officeDocument/2006/relationships/hyperlink" Target="https://www.diodes.com/datasheet/download/DMN21D2UFB.pdf" TargetMode="External"/><Relationship Id="rId_hyperlink_754" Type="http://schemas.openxmlformats.org/officeDocument/2006/relationships/hyperlink" Target="https://www.diodes.com/part/view/DMN21D2UFB" TargetMode="External"/><Relationship Id="rId_hyperlink_755" Type="http://schemas.openxmlformats.org/officeDocument/2006/relationships/hyperlink" Target="https://www.diodes.com/datasheet/download/DMN2250UFB.pdf" TargetMode="External"/><Relationship Id="rId_hyperlink_756" Type="http://schemas.openxmlformats.org/officeDocument/2006/relationships/hyperlink" Target="https://www.diodes.com/part/view/DMN2250UFB" TargetMode="External"/><Relationship Id="rId_hyperlink_757" Type="http://schemas.openxmlformats.org/officeDocument/2006/relationships/hyperlink" Target="https://www.diodes.com/datasheet/download/DMN22M5UCA10.pdf" TargetMode="External"/><Relationship Id="rId_hyperlink_758" Type="http://schemas.openxmlformats.org/officeDocument/2006/relationships/hyperlink" Target="https://www.diodes.com/part/view/DMN22M5UCA10" TargetMode="External"/><Relationship Id="rId_hyperlink_759" Type="http://schemas.openxmlformats.org/officeDocument/2006/relationships/hyperlink" Target="https://www.diodes.com/datasheet/download/DMN22M5UFG.pdf" TargetMode="External"/><Relationship Id="rId_hyperlink_760" Type="http://schemas.openxmlformats.org/officeDocument/2006/relationships/hyperlink" Target="https://www.diodes.com/part/view/DMN22M5UFG" TargetMode="External"/><Relationship Id="rId_hyperlink_761" Type="http://schemas.openxmlformats.org/officeDocument/2006/relationships/hyperlink" Target="https://www.diodes.com/datasheet/download/DMN2300U.pdf" TargetMode="External"/><Relationship Id="rId_hyperlink_762" Type="http://schemas.openxmlformats.org/officeDocument/2006/relationships/hyperlink" Target="https://www.diodes.com/part/view/DMN2300U" TargetMode="External"/><Relationship Id="rId_hyperlink_763" Type="http://schemas.openxmlformats.org/officeDocument/2006/relationships/hyperlink" Target="https://www.diodes.com/datasheet/download/DMN2300UFB.pdf" TargetMode="External"/><Relationship Id="rId_hyperlink_764" Type="http://schemas.openxmlformats.org/officeDocument/2006/relationships/hyperlink" Target="https://www.diodes.com/part/view/DMN2300UFB" TargetMode="External"/><Relationship Id="rId_hyperlink_765" Type="http://schemas.openxmlformats.org/officeDocument/2006/relationships/hyperlink" Target="https://www.diodes.com/datasheet/download/DMN2300UFB4.pdf" TargetMode="External"/><Relationship Id="rId_hyperlink_766" Type="http://schemas.openxmlformats.org/officeDocument/2006/relationships/hyperlink" Target="https://www.diodes.com/part/view/DMN2300UFB4" TargetMode="External"/><Relationship Id="rId_hyperlink_767" Type="http://schemas.openxmlformats.org/officeDocument/2006/relationships/hyperlink" Target="https://www.diodes.com/datasheet/download/DMN2300UFD.pdf" TargetMode="External"/><Relationship Id="rId_hyperlink_768" Type="http://schemas.openxmlformats.org/officeDocument/2006/relationships/hyperlink" Target="https://www.diodes.com/part/view/DMN2300UFD" TargetMode="External"/><Relationship Id="rId_hyperlink_769" Type="http://schemas.openxmlformats.org/officeDocument/2006/relationships/hyperlink" Target="https://www.diodes.com/datasheet/download/DMN2300UFL4.pdf" TargetMode="External"/><Relationship Id="rId_hyperlink_770" Type="http://schemas.openxmlformats.org/officeDocument/2006/relationships/hyperlink" Target="https://www.diodes.com/part/view/DMN2300UFL4" TargetMode="External"/><Relationship Id="rId_hyperlink_771" Type="http://schemas.openxmlformats.org/officeDocument/2006/relationships/hyperlink" Target="https://www.diodes.com/datasheet/download/DMN2300UFL4Q.pdf" TargetMode="External"/><Relationship Id="rId_hyperlink_772" Type="http://schemas.openxmlformats.org/officeDocument/2006/relationships/hyperlink" Target="https://www.diodes.com/part/view/DMN2300UFL4Q" TargetMode="External"/><Relationship Id="rId_hyperlink_773" Type="http://schemas.openxmlformats.org/officeDocument/2006/relationships/hyperlink" Target="https://www.diodes.com/datasheet/download/DMN2310U.pdf" TargetMode="External"/><Relationship Id="rId_hyperlink_774" Type="http://schemas.openxmlformats.org/officeDocument/2006/relationships/hyperlink" Target="https://www.diodes.com/part/view/DMN2310U" TargetMode="External"/><Relationship Id="rId_hyperlink_775" Type="http://schemas.openxmlformats.org/officeDocument/2006/relationships/hyperlink" Target="https://www.diodes.com/datasheet/download/DMN2310UFB4.pdf" TargetMode="External"/><Relationship Id="rId_hyperlink_776" Type="http://schemas.openxmlformats.org/officeDocument/2006/relationships/hyperlink" Target="https://www.diodes.com/part/view/DMN2310UFB4" TargetMode="External"/><Relationship Id="rId_hyperlink_777" Type="http://schemas.openxmlformats.org/officeDocument/2006/relationships/hyperlink" Target="https://www.diodes.com/datasheet/download/DMN2310UFD.pdf" TargetMode="External"/><Relationship Id="rId_hyperlink_778" Type="http://schemas.openxmlformats.org/officeDocument/2006/relationships/hyperlink" Target="https://www.diodes.com/part/view/DMN2310UFD" TargetMode="External"/><Relationship Id="rId_hyperlink_779" Type="http://schemas.openxmlformats.org/officeDocument/2006/relationships/hyperlink" Target="https://www.diodes.com/datasheet/download/DMN2310UT.pdf" TargetMode="External"/><Relationship Id="rId_hyperlink_780" Type="http://schemas.openxmlformats.org/officeDocument/2006/relationships/hyperlink" Target="https://www.diodes.com/part/view/DMN2310UT" TargetMode="External"/><Relationship Id="rId_hyperlink_781" Type="http://schemas.openxmlformats.org/officeDocument/2006/relationships/hyperlink" Target="https://www.diodes.com/datasheet/download/DMN2310UTQ.pdf" TargetMode="External"/><Relationship Id="rId_hyperlink_782" Type="http://schemas.openxmlformats.org/officeDocument/2006/relationships/hyperlink" Target="https://www.diodes.com/part/view/DMN2310UTQ" TargetMode="External"/><Relationship Id="rId_hyperlink_783" Type="http://schemas.openxmlformats.org/officeDocument/2006/relationships/hyperlink" Target="https://www.diodes.com/datasheet/download/DMN2310UW.pdf" TargetMode="External"/><Relationship Id="rId_hyperlink_784" Type="http://schemas.openxmlformats.org/officeDocument/2006/relationships/hyperlink" Target="https://www.diodes.com/part/view/DMN2310UW" TargetMode="External"/><Relationship Id="rId_hyperlink_785" Type="http://schemas.openxmlformats.org/officeDocument/2006/relationships/hyperlink" Target="https://www.diodes.com/datasheet/download/DMN2310UWQ.pdf" TargetMode="External"/><Relationship Id="rId_hyperlink_786" Type="http://schemas.openxmlformats.org/officeDocument/2006/relationships/hyperlink" Target="https://www.diodes.com/part/view/DMN2310UWQ" TargetMode="External"/><Relationship Id="rId_hyperlink_787" Type="http://schemas.openxmlformats.org/officeDocument/2006/relationships/hyperlink" Target="https://www.diodes.com/datasheet/download/DMN2320UFB4.pdf" TargetMode="External"/><Relationship Id="rId_hyperlink_788" Type="http://schemas.openxmlformats.org/officeDocument/2006/relationships/hyperlink" Target="https://www.diodes.com/part/view/DMN2320UFB4" TargetMode="External"/><Relationship Id="rId_hyperlink_789" Type="http://schemas.openxmlformats.org/officeDocument/2006/relationships/hyperlink" Target="https://www.diodes.com/datasheet/download/DMN2400UFB.pdf" TargetMode="External"/><Relationship Id="rId_hyperlink_790" Type="http://schemas.openxmlformats.org/officeDocument/2006/relationships/hyperlink" Target="https://www.diodes.com/part/view/DMN2400UFB" TargetMode="External"/><Relationship Id="rId_hyperlink_791" Type="http://schemas.openxmlformats.org/officeDocument/2006/relationships/hyperlink" Target="https://www.diodes.com/datasheet/download/DMN2400UV.pdf" TargetMode="External"/><Relationship Id="rId_hyperlink_792" Type="http://schemas.openxmlformats.org/officeDocument/2006/relationships/hyperlink" Target="https://www.diodes.com/part/view/DMN2400UV" TargetMode="External"/><Relationship Id="rId_hyperlink_793" Type="http://schemas.openxmlformats.org/officeDocument/2006/relationships/hyperlink" Target="https://www.diodes.com/datasheet/download/DMN2450UFB4.pdf" TargetMode="External"/><Relationship Id="rId_hyperlink_794" Type="http://schemas.openxmlformats.org/officeDocument/2006/relationships/hyperlink" Target="https://www.diodes.com/part/view/DMN2450UFB4" TargetMode="External"/><Relationship Id="rId_hyperlink_795" Type="http://schemas.openxmlformats.org/officeDocument/2006/relationships/hyperlink" Target="https://www.diodes.com/datasheet/download/DMN2450UFB4Q.pdf" TargetMode="External"/><Relationship Id="rId_hyperlink_796" Type="http://schemas.openxmlformats.org/officeDocument/2006/relationships/hyperlink" Target="https://www.diodes.com/part/view/DMN2450UFB4Q" TargetMode="External"/><Relationship Id="rId_hyperlink_797" Type="http://schemas.openxmlformats.org/officeDocument/2006/relationships/hyperlink" Target="https://www.diodes.com/datasheet/download/DMN2450UFD.pdf" TargetMode="External"/><Relationship Id="rId_hyperlink_798" Type="http://schemas.openxmlformats.org/officeDocument/2006/relationships/hyperlink" Target="https://www.diodes.com/part/view/DMN2450UFD" TargetMode="External"/><Relationship Id="rId_hyperlink_799" Type="http://schemas.openxmlformats.org/officeDocument/2006/relationships/hyperlink" Target="https://www.diodes.com/datasheet/download/DMN2451UFB4.pdf" TargetMode="External"/><Relationship Id="rId_hyperlink_800" Type="http://schemas.openxmlformats.org/officeDocument/2006/relationships/hyperlink" Target="https://www.diodes.com/part/view/DMN2451UFB4" TargetMode="External"/><Relationship Id="rId_hyperlink_801" Type="http://schemas.openxmlformats.org/officeDocument/2006/relationships/hyperlink" Target="https://www.diodes.com/datasheet/download/DMN2451UFB4Q.pdf" TargetMode="External"/><Relationship Id="rId_hyperlink_802" Type="http://schemas.openxmlformats.org/officeDocument/2006/relationships/hyperlink" Target="https://www.diodes.com/part/view/DMN2451UFB4Q" TargetMode="External"/><Relationship Id="rId_hyperlink_803" Type="http://schemas.openxmlformats.org/officeDocument/2006/relationships/hyperlink" Target="https://www.diodes.com/datasheet/download/DMN2451UFDQ.pdf" TargetMode="External"/><Relationship Id="rId_hyperlink_804" Type="http://schemas.openxmlformats.org/officeDocument/2006/relationships/hyperlink" Target="https://www.diodes.com/part/view/DMN2451UFDQ" TargetMode="External"/><Relationship Id="rId_hyperlink_805" Type="http://schemas.openxmlformats.org/officeDocument/2006/relationships/hyperlink" Target="https://www.diodes.com/datasheet/download/DMN24H11DS.pdf" TargetMode="External"/><Relationship Id="rId_hyperlink_806" Type="http://schemas.openxmlformats.org/officeDocument/2006/relationships/hyperlink" Target="https://www.diodes.com/part/view/DMN24H11DS" TargetMode="External"/><Relationship Id="rId_hyperlink_807" Type="http://schemas.openxmlformats.org/officeDocument/2006/relationships/hyperlink" Target="https://www.diodes.com/datasheet/download/DMN24H11DSQ.pdf" TargetMode="External"/><Relationship Id="rId_hyperlink_808" Type="http://schemas.openxmlformats.org/officeDocument/2006/relationships/hyperlink" Target="https://www.diodes.com/part/view/DMN24H11DSQ" TargetMode="External"/><Relationship Id="rId_hyperlink_809" Type="http://schemas.openxmlformats.org/officeDocument/2006/relationships/hyperlink" Target="https://www.diodes.com/datasheet/download/DMN24H3D5L.pdf" TargetMode="External"/><Relationship Id="rId_hyperlink_810" Type="http://schemas.openxmlformats.org/officeDocument/2006/relationships/hyperlink" Target="https://www.diodes.com/part/view/DMN24H3D5L" TargetMode="External"/><Relationship Id="rId_hyperlink_811" Type="http://schemas.openxmlformats.org/officeDocument/2006/relationships/hyperlink" Target="https://www.diodes.com/datasheet/download/DMN2501UFB4.pdf" TargetMode="External"/><Relationship Id="rId_hyperlink_812" Type="http://schemas.openxmlformats.org/officeDocument/2006/relationships/hyperlink" Target="https://www.diodes.com/part/view/DMN2501UFB4" TargetMode="External"/><Relationship Id="rId_hyperlink_813" Type="http://schemas.openxmlformats.org/officeDocument/2006/relationships/hyperlink" Target="https://www.diodes.com/datasheet/download/DMN2550UFA.pdf" TargetMode="External"/><Relationship Id="rId_hyperlink_814" Type="http://schemas.openxmlformats.org/officeDocument/2006/relationships/hyperlink" Target="https://www.diodes.com/part/view/DMN2550UFA" TargetMode="External"/><Relationship Id="rId_hyperlink_815" Type="http://schemas.openxmlformats.org/officeDocument/2006/relationships/hyperlink" Target="https://www.diodes.com/datasheet/download/DMN25D0UFA.pdf" TargetMode="External"/><Relationship Id="rId_hyperlink_816" Type="http://schemas.openxmlformats.org/officeDocument/2006/relationships/hyperlink" Target="https://www.diodes.com/part/view/DMN25D0UFA" TargetMode="External"/><Relationship Id="rId_hyperlink_817" Type="http://schemas.openxmlformats.org/officeDocument/2006/relationships/hyperlink" Target="https://www.diodes.com/datasheet/download/DMN2600UFB.pdf" TargetMode="External"/><Relationship Id="rId_hyperlink_818" Type="http://schemas.openxmlformats.org/officeDocument/2006/relationships/hyperlink" Target="https://www.diodes.com/part/view/DMN2600UFB" TargetMode="External"/><Relationship Id="rId_hyperlink_819" Type="http://schemas.openxmlformats.org/officeDocument/2006/relationships/hyperlink" Target="https://www.diodes.com/datasheet/download/DMN26D0UT.pdf" TargetMode="External"/><Relationship Id="rId_hyperlink_820" Type="http://schemas.openxmlformats.org/officeDocument/2006/relationships/hyperlink" Target="https://www.diodes.com/part/view/DMN26D0UT" TargetMode="External"/><Relationship Id="rId_hyperlink_821" Type="http://schemas.openxmlformats.org/officeDocument/2006/relationships/hyperlink" Target="https://www.diodes.com/datasheet/download/DMN2710UDW.pdf" TargetMode="External"/><Relationship Id="rId_hyperlink_822" Type="http://schemas.openxmlformats.org/officeDocument/2006/relationships/hyperlink" Target="https://www.diodes.com/part/view/DMN2710UDW" TargetMode="External"/><Relationship Id="rId_hyperlink_823" Type="http://schemas.openxmlformats.org/officeDocument/2006/relationships/hyperlink" Target="https://www.diodes.com/datasheet/download/DMN2710UDWQ.pdf" TargetMode="External"/><Relationship Id="rId_hyperlink_824" Type="http://schemas.openxmlformats.org/officeDocument/2006/relationships/hyperlink" Target="https://www.diodes.com/part/view/DMN2710UDWQ" TargetMode="External"/><Relationship Id="rId_hyperlink_825" Type="http://schemas.openxmlformats.org/officeDocument/2006/relationships/hyperlink" Target="https://www.diodes.com/datasheet/download/DMN2710UFB.pdf" TargetMode="External"/><Relationship Id="rId_hyperlink_826" Type="http://schemas.openxmlformats.org/officeDocument/2006/relationships/hyperlink" Target="https://www.diodes.com/part/view/DMN2710UFB" TargetMode="External"/><Relationship Id="rId_hyperlink_827" Type="http://schemas.openxmlformats.org/officeDocument/2006/relationships/hyperlink" Target="https://www.diodes.com/datasheet/download/DMN2710UFBQ.pdf" TargetMode="External"/><Relationship Id="rId_hyperlink_828" Type="http://schemas.openxmlformats.org/officeDocument/2006/relationships/hyperlink" Target="https://www.diodes.com/part/view/DMN2710UFBQ" TargetMode="External"/><Relationship Id="rId_hyperlink_829" Type="http://schemas.openxmlformats.org/officeDocument/2006/relationships/hyperlink" Target="https://www.diodes.com/datasheet/download/DMN2710UT.pdf" TargetMode="External"/><Relationship Id="rId_hyperlink_830" Type="http://schemas.openxmlformats.org/officeDocument/2006/relationships/hyperlink" Target="https://www.diodes.com/part/view/DMN2710UT" TargetMode="External"/><Relationship Id="rId_hyperlink_831" Type="http://schemas.openxmlformats.org/officeDocument/2006/relationships/hyperlink" Target="https://www.diodes.com/datasheet/download/DMN2710UTQ.pdf" TargetMode="External"/><Relationship Id="rId_hyperlink_832" Type="http://schemas.openxmlformats.org/officeDocument/2006/relationships/hyperlink" Target="https://www.diodes.com/part/view/DMN2710UTQ" TargetMode="External"/><Relationship Id="rId_hyperlink_833" Type="http://schemas.openxmlformats.org/officeDocument/2006/relationships/hyperlink" Target="https://www.diodes.com/datasheet/download/DMN2710UV.pdf" TargetMode="External"/><Relationship Id="rId_hyperlink_834" Type="http://schemas.openxmlformats.org/officeDocument/2006/relationships/hyperlink" Target="https://www.diodes.com/part/view/DMN2710UV" TargetMode="External"/><Relationship Id="rId_hyperlink_835" Type="http://schemas.openxmlformats.org/officeDocument/2006/relationships/hyperlink" Target="https://www.diodes.com/datasheet/download/DMN2710UVQ.pdf" TargetMode="External"/><Relationship Id="rId_hyperlink_836" Type="http://schemas.openxmlformats.org/officeDocument/2006/relationships/hyperlink" Target="https://www.diodes.com/part/view/DMN2710UVQ" TargetMode="External"/><Relationship Id="rId_hyperlink_837" Type="http://schemas.openxmlformats.org/officeDocument/2006/relationships/hyperlink" Target="https://www.diodes.com/datasheet/download/DMN2710UW.pdf" TargetMode="External"/><Relationship Id="rId_hyperlink_838" Type="http://schemas.openxmlformats.org/officeDocument/2006/relationships/hyperlink" Target="https://www.diodes.com/part/view/DMN2710UW" TargetMode="External"/><Relationship Id="rId_hyperlink_839" Type="http://schemas.openxmlformats.org/officeDocument/2006/relationships/hyperlink" Target="https://www.diodes.com/datasheet/download/DMN2710UWQ.pdf" TargetMode="External"/><Relationship Id="rId_hyperlink_840" Type="http://schemas.openxmlformats.org/officeDocument/2006/relationships/hyperlink" Target="https://www.diodes.com/part/view/DMN2710UWQ" TargetMode="External"/><Relationship Id="rId_hyperlink_841" Type="http://schemas.openxmlformats.org/officeDocument/2006/relationships/hyperlink" Target="https://www.diodes.com/datasheet/download/DMN2990UDJ.pdf" TargetMode="External"/><Relationship Id="rId_hyperlink_842" Type="http://schemas.openxmlformats.org/officeDocument/2006/relationships/hyperlink" Target="https://www.diodes.com/part/view/DMN2990UDJ" TargetMode="External"/><Relationship Id="rId_hyperlink_843" Type="http://schemas.openxmlformats.org/officeDocument/2006/relationships/hyperlink" Target="https://www.diodes.com/datasheet/download/DMN2990UDJQ.pdf" TargetMode="External"/><Relationship Id="rId_hyperlink_844" Type="http://schemas.openxmlformats.org/officeDocument/2006/relationships/hyperlink" Target="https://www.diodes.com/part/view/DMN2990UDJQ" TargetMode="External"/><Relationship Id="rId_hyperlink_845" Type="http://schemas.openxmlformats.org/officeDocument/2006/relationships/hyperlink" Target="https://www.diodes.com/datasheet/download/DMN2990UFA.pdf" TargetMode="External"/><Relationship Id="rId_hyperlink_846" Type="http://schemas.openxmlformats.org/officeDocument/2006/relationships/hyperlink" Target="https://www.diodes.com/part/view/DMN2990UFA" TargetMode="External"/><Relationship Id="rId_hyperlink_847" Type="http://schemas.openxmlformats.org/officeDocument/2006/relationships/hyperlink" Target="https://www.diodes.com/datasheet/download/DMN2990UFB.pdf" TargetMode="External"/><Relationship Id="rId_hyperlink_848" Type="http://schemas.openxmlformats.org/officeDocument/2006/relationships/hyperlink" Target="https://www.diodes.com/part/view/DMN2990UFB" TargetMode="External"/><Relationship Id="rId_hyperlink_849" Type="http://schemas.openxmlformats.org/officeDocument/2006/relationships/hyperlink" Target="https://www.diodes.com/datasheet/download/DMN2990UFO.pdf" TargetMode="External"/><Relationship Id="rId_hyperlink_850" Type="http://schemas.openxmlformats.org/officeDocument/2006/relationships/hyperlink" Target="https://www.diodes.com/part/view/DMN2990UFO" TargetMode="External"/><Relationship Id="rId_hyperlink_851" Type="http://schemas.openxmlformats.org/officeDocument/2006/relationships/hyperlink" Target="https://www.diodes.com/datasheet/download/DMN2990UFZ.pdf" TargetMode="External"/><Relationship Id="rId_hyperlink_852" Type="http://schemas.openxmlformats.org/officeDocument/2006/relationships/hyperlink" Target="https://www.diodes.com/part/view/DMN2990UFZ" TargetMode="External"/><Relationship Id="rId_hyperlink_853" Type="http://schemas.openxmlformats.org/officeDocument/2006/relationships/hyperlink" Target="https://www.diodes.com/datasheet/download/DMN2991UDA.pdf" TargetMode="External"/><Relationship Id="rId_hyperlink_854" Type="http://schemas.openxmlformats.org/officeDocument/2006/relationships/hyperlink" Target="https://www.diodes.com/part/view/DMN2991UDA" TargetMode="External"/><Relationship Id="rId_hyperlink_855" Type="http://schemas.openxmlformats.org/officeDocument/2006/relationships/hyperlink" Target="https://www.diodes.com/datasheet/download/DMN2991UDJ.pdf" TargetMode="External"/><Relationship Id="rId_hyperlink_856" Type="http://schemas.openxmlformats.org/officeDocument/2006/relationships/hyperlink" Target="https://www.diodes.com/part/view/DMN2991UDJ" TargetMode="External"/><Relationship Id="rId_hyperlink_857" Type="http://schemas.openxmlformats.org/officeDocument/2006/relationships/hyperlink" Target="https://www.diodes.com/datasheet/download/DMN2991UDR4.pdf" TargetMode="External"/><Relationship Id="rId_hyperlink_858" Type="http://schemas.openxmlformats.org/officeDocument/2006/relationships/hyperlink" Target="https://www.diodes.com/part/view/DMN2991UDR4" TargetMode="External"/><Relationship Id="rId_hyperlink_859" Type="http://schemas.openxmlformats.org/officeDocument/2006/relationships/hyperlink" Target="https://www.diodes.com/datasheet/download/DMN2991UFA.pdf" TargetMode="External"/><Relationship Id="rId_hyperlink_860" Type="http://schemas.openxmlformats.org/officeDocument/2006/relationships/hyperlink" Target="https://www.diodes.com/part/view/DMN2991UFA" TargetMode="External"/><Relationship Id="rId_hyperlink_861" Type="http://schemas.openxmlformats.org/officeDocument/2006/relationships/hyperlink" Target="https://www.diodes.com/datasheet/download/DMN2991UFB4.pdf" TargetMode="External"/><Relationship Id="rId_hyperlink_862" Type="http://schemas.openxmlformats.org/officeDocument/2006/relationships/hyperlink" Target="https://www.diodes.com/part/view/DMN2991UFB4" TargetMode="External"/><Relationship Id="rId_hyperlink_863" Type="http://schemas.openxmlformats.org/officeDocument/2006/relationships/hyperlink" Target="https://www.diodes.com/datasheet/download/DMN2991UFB4Q.pdf" TargetMode="External"/><Relationship Id="rId_hyperlink_864" Type="http://schemas.openxmlformats.org/officeDocument/2006/relationships/hyperlink" Target="https://www.diodes.com/part/view/DMN2991UFB4Q" TargetMode="External"/><Relationship Id="rId_hyperlink_865" Type="http://schemas.openxmlformats.org/officeDocument/2006/relationships/hyperlink" Target="https://www.diodes.com/datasheet/download/DMN2991UFO.pdf" TargetMode="External"/><Relationship Id="rId_hyperlink_866" Type="http://schemas.openxmlformats.org/officeDocument/2006/relationships/hyperlink" Target="https://www.diodes.com/part/view/DMN2991UFO" TargetMode="External"/><Relationship Id="rId_hyperlink_867" Type="http://schemas.openxmlformats.org/officeDocument/2006/relationships/hyperlink" Target="https://www.diodes.com/datasheet/download/DMN2991UFZ.pdf" TargetMode="External"/><Relationship Id="rId_hyperlink_868" Type="http://schemas.openxmlformats.org/officeDocument/2006/relationships/hyperlink" Target="https://www.diodes.com/part/view/DMN2991UFZ" TargetMode="External"/><Relationship Id="rId_hyperlink_869" Type="http://schemas.openxmlformats.org/officeDocument/2006/relationships/hyperlink" Target="https://www.diodes.com/datasheet/download/DMN2991UFZQ.pdf" TargetMode="External"/><Relationship Id="rId_hyperlink_870" Type="http://schemas.openxmlformats.org/officeDocument/2006/relationships/hyperlink" Target="https://www.diodes.com/part/view/DMN2991UFZQ" TargetMode="External"/><Relationship Id="rId_hyperlink_871" Type="http://schemas.openxmlformats.org/officeDocument/2006/relationships/hyperlink" Target="https://www.diodes.com/datasheet/download/DMN2991UT.pdf" TargetMode="External"/><Relationship Id="rId_hyperlink_872" Type="http://schemas.openxmlformats.org/officeDocument/2006/relationships/hyperlink" Target="https://www.diodes.com/part/view/DMN2991UT" TargetMode="External"/><Relationship Id="rId_hyperlink_873" Type="http://schemas.openxmlformats.org/officeDocument/2006/relationships/hyperlink" Target="https://www.diodes.com/datasheet/download/DMN2991UTQ.pdf" TargetMode="External"/><Relationship Id="rId_hyperlink_874" Type="http://schemas.openxmlformats.org/officeDocument/2006/relationships/hyperlink" Target="https://www.diodes.com/part/view/DMN2991UTQ" TargetMode="External"/><Relationship Id="rId_hyperlink_875" Type="http://schemas.openxmlformats.org/officeDocument/2006/relationships/hyperlink" Target="https://www.diodes.com/datasheet/download/DMN2992UDR4.pdf" TargetMode="External"/><Relationship Id="rId_hyperlink_876" Type="http://schemas.openxmlformats.org/officeDocument/2006/relationships/hyperlink" Target="https://www.diodes.com/part/view/DMN2992UDR4" TargetMode="External"/><Relationship Id="rId_hyperlink_877" Type="http://schemas.openxmlformats.org/officeDocument/2006/relationships/hyperlink" Target="https://www.diodes.com/datasheet/download/DMN2992UFA.pdf" TargetMode="External"/><Relationship Id="rId_hyperlink_878" Type="http://schemas.openxmlformats.org/officeDocument/2006/relationships/hyperlink" Target="https://www.diodes.com/part/view/DMN2992UFA" TargetMode="External"/><Relationship Id="rId_hyperlink_879" Type="http://schemas.openxmlformats.org/officeDocument/2006/relationships/hyperlink" Target="https://www.diodes.com/datasheet/download/DMN2992UFB4.pdf" TargetMode="External"/><Relationship Id="rId_hyperlink_880" Type="http://schemas.openxmlformats.org/officeDocument/2006/relationships/hyperlink" Target="https://www.diodes.com/part/view/DMN2992UFB4" TargetMode="External"/><Relationship Id="rId_hyperlink_881" Type="http://schemas.openxmlformats.org/officeDocument/2006/relationships/hyperlink" Target="https://www.diodes.com/datasheet/download/DMN2992UFB4Q.pdf" TargetMode="External"/><Relationship Id="rId_hyperlink_882" Type="http://schemas.openxmlformats.org/officeDocument/2006/relationships/hyperlink" Target="https://www.diodes.com/part/view/DMN2992UFB4Q" TargetMode="External"/><Relationship Id="rId_hyperlink_883" Type="http://schemas.openxmlformats.org/officeDocument/2006/relationships/hyperlink" Target="https://www.diodes.com/datasheet/download/DMN2992UFO.pdf" TargetMode="External"/><Relationship Id="rId_hyperlink_884" Type="http://schemas.openxmlformats.org/officeDocument/2006/relationships/hyperlink" Target="https://www.diodes.com/part/view/DMN2992UFO" TargetMode="External"/><Relationship Id="rId_hyperlink_885" Type="http://schemas.openxmlformats.org/officeDocument/2006/relationships/hyperlink" Target="https://www.diodes.com/datasheet/download/DMN2992UFZ.pdf" TargetMode="External"/><Relationship Id="rId_hyperlink_886" Type="http://schemas.openxmlformats.org/officeDocument/2006/relationships/hyperlink" Target="https://www.diodes.com/part/view/DMN2992UFZ" TargetMode="External"/><Relationship Id="rId_hyperlink_887" Type="http://schemas.openxmlformats.org/officeDocument/2006/relationships/hyperlink" Target="https://www.diodes.com/datasheet/download/DMN29M9UFDF.pdf" TargetMode="External"/><Relationship Id="rId_hyperlink_888" Type="http://schemas.openxmlformats.org/officeDocument/2006/relationships/hyperlink" Target="https://www.diodes.com/part/view/DMN29M9UFDF" TargetMode="External"/><Relationship Id="rId_hyperlink_889" Type="http://schemas.openxmlformats.org/officeDocument/2006/relationships/hyperlink" Target="https://www.diodes.com/datasheet/download/DMN3006SCA6.pdf" TargetMode="External"/><Relationship Id="rId_hyperlink_890" Type="http://schemas.openxmlformats.org/officeDocument/2006/relationships/hyperlink" Target="https://www.diodes.com/part/view/DMN3006SCA6" TargetMode="External"/><Relationship Id="rId_hyperlink_891" Type="http://schemas.openxmlformats.org/officeDocument/2006/relationships/hyperlink" Target="https://www.diodes.com/datasheet/download/DMN3007LSS.pdf" TargetMode="External"/><Relationship Id="rId_hyperlink_892" Type="http://schemas.openxmlformats.org/officeDocument/2006/relationships/hyperlink" Target="https://www.diodes.com/part/view/DMN3007LSS" TargetMode="External"/><Relationship Id="rId_hyperlink_893" Type="http://schemas.openxmlformats.org/officeDocument/2006/relationships/hyperlink" Target="https://www.diodes.com/datasheet/download/DMN3007LSSQ.pdf" TargetMode="External"/><Relationship Id="rId_hyperlink_894" Type="http://schemas.openxmlformats.org/officeDocument/2006/relationships/hyperlink" Target="https://www.diodes.com/part/view/DMN3007LSSQ" TargetMode="External"/><Relationship Id="rId_hyperlink_895" Type="http://schemas.openxmlformats.org/officeDocument/2006/relationships/hyperlink" Target="https://www.diodes.com/datasheet/download/DMN3008SCP10.pdf" TargetMode="External"/><Relationship Id="rId_hyperlink_896" Type="http://schemas.openxmlformats.org/officeDocument/2006/relationships/hyperlink" Target="https://www.diodes.com/part/view/DMN3008SCP10" TargetMode="External"/><Relationship Id="rId_hyperlink_897" Type="http://schemas.openxmlformats.org/officeDocument/2006/relationships/hyperlink" Target="https://www.diodes.com/datasheet/download/DMN3008SFG.pdf" TargetMode="External"/><Relationship Id="rId_hyperlink_898" Type="http://schemas.openxmlformats.org/officeDocument/2006/relationships/hyperlink" Target="https://www.diodes.com/part/view/DMN3008SFG" TargetMode="External"/><Relationship Id="rId_hyperlink_899" Type="http://schemas.openxmlformats.org/officeDocument/2006/relationships/hyperlink" Target="https://www.diodes.com/datasheet/download/DMN3008SFGQ.pdf" TargetMode="External"/><Relationship Id="rId_hyperlink_900" Type="http://schemas.openxmlformats.org/officeDocument/2006/relationships/hyperlink" Target="https://www.diodes.com/part/view/DMN3008SFGQ" TargetMode="External"/><Relationship Id="rId_hyperlink_901" Type="http://schemas.openxmlformats.org/officeDocument/2006/relationships/hyperlink" Target="https://www.diodes.com/datasheet/download/DMN3009LFV.pdf" TargetMode="External"/><Relationship Id="rId_hyperlink_902" Type="http://schemas.openxmlformats.org/officeDocument/2006/relationships/hyperlink" Target="https://www.diodes.com/part/view/DMN3009LFV" TargetMode="External"/><Relationship Id="rId_hyperlink_903" Type="http://schemas.openxmlformats.org/officeDocument/2006/relationships/hyperlink" Target="https://www.diodes.com/datasheet/download/DMN3009LFVQ.pdf" TargetMode="External"/><Relationship Id="rId_hyperlink_904" Type="http://schemas.openxmlformats.org/officeDocument/2006/relationships/hyperlink" Target="https://www.diodes.com/part/view/DMN3009LFVQ" TargetMode="External"/><Relationship Id="rId_hyperlink_905" Type="http://schemas.openxmlformats.org/officeDocument/2006/relationships/hyperlink" Target="https://www.diodes.com/datasheet/download/DMN3009LFVW.pdf" TargetMode="External"/><Relationship Id="rId_hyperlink_906" Type="http://schemas.openxmlformats.org/officeDocument/2006/relationships/hyperlink" Target="https://www.diodes.com/part/view/DMN3009LFVW" TargetMode="External"/><Relationship Id="rId_hyperlink_907" Type="http://schemas.openxmlformats.org/officeDocument/2006/relationships/hyperlink" Target="https://www.diodes.com/datasheet/download/DMN3009LFVWQ.pdf" TargetMode="External"/><Relationship Id="rId_hyperlink_908" Type="http://schemas.openxmlformats.org/officeDocument/2006/relationships/hyperlink" Target="https://www.diodes.com/part/view/DMN3009LFVWQ" TargetMode="External"/><Relationship Id="rId_hyperlink_909" Type="http://schemas.openxmlformats.org/officeDocument/2006/relationships/hyperlink" Target="https://www.diodes.com/datasheet/download/DMN3009SFG.pdf" TargetMode="External"/><Relationship Id="rId_hyperlink_910" Type="http://schemas.openxmlformats.org/officeDocument/2006/relationships/hyperlink" Target="https://www.diodes.com/part/view/DMN3009SFG" TargetMode="External"/><Relationship Id="rId_hyperlink_911" Type="http://schemas.openxmlformats.org/officeDocument/2006/relationships/hyperlink" Target="https://www.diodes.com/datasheet/download/DMN3009SFGQ.pdf" TargetMode="External"/><Relationship Id="rId_hyperlink_912" Type="http://schemas.openxmlformats.org/officeDocument/2006/relationships/hyperlink" Target="https://www.diodes.com/part/view/DMN3009SFGQ" TargetMode="External"/><Relationship Id="rId_hyperlink_913" Type="http://schemas.openxmlformats.org/officeDocument/2006/relationships/hyperlink" Target="https://www.diodes.com/datasheet/download/DMN3009SK3.pdf" TargetMode="External"/><Relationship Id="rId_hyperlink_914" Type="http://schemas.openxmlformats.org/officeDocument/2006/relationships/hyperlink" Target="https://www.diodes.com/part/view/DMN3009SK3" TargetMode="External"/><Relationship Id="rId_hyperlink_915" Type="http://schemas.openxmlformats.org/officeDocument/2006/relationships/hyperlink" Target="https://www.diodes.com/datasheet/download/DMN3009SSS.pdf" TargetMode="External"/><Relationship Id="rId_hyperlink_916" Type="http://schemas.openxmlformats.org/officeDocument/2006/relationships/hyperlink" Target="https://www.diodes.com/part/view/DMN3009SSS" TargetMode="External"/><Relationship Id="rId_hyperlink_917" Type="http://schemas.openxmlformats.org/officeDocument/2006/relationships/hyperlink" Target="https://www.diodes.com/datasheet/download/DMN3010LFG.pdf" TargetMode="External"/><Relationship Id="rId_hyperlink_918" Type="http://schemas.openxmlformats.org/officeDocument/2006/relationships/hyperlink" Target="https://www.diodes.com/part/view/DMN3010LFG" TargetMode="External"/><Relationship Id="rId_hyperlink_919" Type="http://schemas.openxmlformats.org/officeDocument/2006/relationships/hyperlink" Target="https://www.diodes.com/datasheet/download/DMN3010LK3.pdf" TargetMode="External"/><Relationship Id="rId_hyperlink_920" Type="http://schemas.openxmlformats.org/officeDocument/2006/relationships/hyperlink" Target="https://www.diodes.com/part/view/DMN3010LK3" TargetMode="External"/><Relationship Id="rId_hyperlink_921" Type="http://schemas.openxmlformats.org/officeDocument/2006/relationships/hyperlink" Target="https://www.diodes.com/datasheet/download/DMN3010LSS.pdf" TargetMode="External"/><Relationship Id="rId_hyperlink_922" Type="http://schemas.openxmlformats.org/officeDocument/2006/relationships/hyperlink" Target="https://www.diodes.com/part/view/DMN3010LSS" TargetMode="External"/><Relationship Id="rId_hyperlink_923" Type="http://schemas.openxmlformats.org/officeDocument/2006/relationships/hyperlink" Target="https://www.diodes.com/datasheet/download/DMN3011LFVW.pdf" TargetMode="External"/><Relationship Id="rId_hyperlink_924" Type="http://schemas.openxmlformats.org/officeDocument/2006/relationships/hyperlink" Target="https://www.diodes.com/part/view/DMN3011LFVW" TargetMode="External"/><Relationship Id="rId_hyperlink_925" Type="http://schemas.openxmlformats.org/officeDocument/2006/relationships/hyperlink" Target="https://www.diodes.com/datasheet/download/DMN3011LFVWQ.pdf" TargetMode="External"/><Relationship Id="rId_hyperlink_926" Type="http://schemas.openxmlformats.org/officeDocument/2006/relationships/hyperlink" Target="https://www.diodes.com/part/view/DMN3011LFVWQ" TargetMode="External"/><Relationship Id="rId_hyperlink_927" Type="http://schemas.openxmlformats.org/officeDocument/2006/relationships/hyperlink" Target="https://www.diodes.com/datasheet/download/DMN3011LSS.pdf" TargetMode="External"/><Relationship Id="rId_hyperlink_928" Type="http://schemas.openxmlformats.org/officeDocument/2006/relationships/hyperlink" Target="https://www.diodes.com/part/view/DMN3011LSS" TargetMode="External"/><Relationship Id="rId_hyperlink_929" Type="http://schemas.openxmlformats.org/officeDocument/2006/relationships/hyperlink" Target="https://www.diodes.com/datasheet/download/DMN3011LSSQ.pdf" TargetMode="External"/><Relationship Id="rId_hyperlink_930" Type="http://schemas.openxmlformats.org/officeDocument/2006/relationships/hyperlink" Target="https://www.diodes.com/part/view/DMN3011LSSQ" TargetMode="External"/><Relationship Id="rId_hyperlink_931" Type="http://schemas.openxmlformats.org/officeDocument/2006/relationships/hyperlink" Target="https://www.diodes.com/datasheet/download/DMN3012LEG.pdf" TargetMode="External"/><Relationship Id="rId_hyperlink_932" Type="http://schemas.openxmlformats.org/officeDocument/2006/relationships/hyperlink" Target="https://www.diodes.com/part/view/DMN3012LEG" TargetMode="External"/><Relationship Id="rId_hyperlink_933" Type="http://schemas.openxmlformats.org/officeDocument/2006/relationships/hyperlink" Target="https://www.diodes.com/datasheet/download/DMN3012LFG.pdf" TargetMode="External"/><Relationship Id="rId_hyperlink_934" Type="http://schemas.openxmlformats.org/officeDocument/2006/relationships/hyperlink" Target="https://www.diodes.com/part/view/DMN3012LFG" TargetMode="External"/><Relationship Id="rId_hyperlink_935" Type="http://schemas.openxmlformats.org/officeDocument/2006/relationships/hyperlink" Target="https://www.diodes.com/datasheet/download/DMN3013LDG.pdf" TargetMode="External"/><Relationship Id="rId_hyperlink_936" Type="http://schemas.openxmlformats.org/officeDocument/2006/relationships/hyperlink" Target="https://www.diodes.com/part/view/DMN3013LDG" TargetMode="External"/><Relationship Id="rId_hyperlink_937" Type="http://schemas.openxmlformats.org/officeDocument/2006/relationships/hyperlink" Target="https://www.diodes.com/datasheet/download/DMN3013LFG.pdf" TargetMode="External"/><Relationship Id="rId_hyperlink_938" Type="http://schemas.openxmlformats.org/officeDocument/2006/relationships/hyperlink" Target="https://www.diodes.com/part/view/DMN3013LFG" TargetMode="External"/><Relationship Id="rId_hyperlink_939" Type="http://schemas.openxmlformats.org/officeDocument/2006/relationships/hyperlink" Target="https://www.diodes.com/datasheet/download/DMN3015LSD.pdf" TargetMode="External"/><Relationship Id="rId_hyperlink_940" Type="http://schemas.openxmlformats.org/officeDocument/2006/relationships/hyperlink" Target="https://www.diodes.com/part/view/DMN3015LSD" TargetMode="External"/><Relationship Id="rId_hyperlink_941" Type="http://schemas.openxmlformats.org/officeDocument/2006/relationships/hyperlink" Target="https://www.diodes.com/datasheet/download/DMN3016LDN.pdf" TargetMode="External"/><Relationship Id="rId_hyperlink_942" Type="http://schemas.openxmlformats.org/officeDocument/2006/relationships/hyperlink" Target="https://www.diodes.com/part/view/DMN3016LDN" TargetMode="External"/><Relationship Id="rId_hyperlink_943" Type="http://schemas.openxmlformats.org/officeDocument/2006/relationships/hyperlink" Target="https://www.diodes.com/datasheet/download/DMN3016LDV.pdf" TargetMode="External"/><Relationship Id="rId_hyperlink_944" Type="http://schemas.openxmlformats.org/officeDocument/2006/relationships/hyperlink" Target="https://www.diodes.com/part/view/DMN3016LDV" TargetMode="External"/><Relationship Id="rId_hyperlink_945" Type="http://schemas.openxmlformats.org/officeDocument/2006/relationships/hyperlink" Target="https://www.diodes.com/datasheet/download/DMN3016LFDE.pdf" TargetMode="External"/><Relationship Id="rId_hyperlink_946" Type="http://schemas.openxmlformats.org/officeDocument/2006/relationships/hyperlink" Target="https://www.diodes.com/part/view/DMN3016LFDE" TargetMode="External"/><Relationship Id="rId_hyperlink_947" Type="http://schemas.openxmlformats.org/officeDocument/2006/relationships/hyperlink" Target="https://www.diodes.com/datasheet/download/DMN3016LFDF.pdf" TargetMode="External"/><Relationship Id="rId_hyperlink_948" Type="http://schemas.openxmlformats.org/officeDocument/2006/relationships/hyperlink" Target="https://www.diodes.com/part/view/DMN3016LFDF" TargetMode="External"/><Relationship Id="rId_hyperlink_949" Type="http://schemas.openxmlformats.org/officeDocument/2006/relationships/hyperlink" Target="https://www.diodes.com/datasheet/download/DMN3016LFDFQ.pdf" TargetMode="External"/><Relationship Id="rId_hyperlink_950" Type="http://schemas.openxmlformats.org/officeDocument/2006/relationships/hyperlink" Target="https://www.diodes.com/part/view/DMN3016LFDFQ" TargetMode="External"/><Relationship Id="rId_hyperlink_951" Type="http://schemas.openxmlformats.org/officeDocument/2006/relationships/hyperlink" Target="https://www.diodes.com/datasheet/download/DMN3016LK3.pdf" TargetMode="External"/><Relationship Id="rId_hyperlink_952" Type="http://schemas.openxmlformats.org/officeDocument/2006/relationships/hyperlink" Target="https://www.diodes.com/part/view/DMN3016LK3" TargetMode="External"/><Relationship Id="rId_hyperlink_953" Type="http://schemas.openxmlformats.org/officeDocument/2006/relationships/hyperlink" Target="https://www.diodes.com/datasheet/download/DMN3016LPS.pdf" TargetMode="External"/><Relationship Id="rId_hyperlink_954" Type="http://schemas.openxmlformats.org/officeDocument/2006/relationships/hyperlink" Target="https://www.diodes.com/part/view/DMN3016LPS" TargetMode="External"/><Relationship Id="rId_hyperlink_955" Type="http://schemas.openxmlformats.org/officeDocument/2006/relationships/hyperlink" Target="https://www.diodes.com/datasheet/download/DMN3016LSS.pdf" TargetMode="External"/><Relationship Id="rId_hyperlink_956" Type="http://schemas.openxmlformats.org/officeDocument/2006/relationships/hyperlink" Target="https://www.diodes.com/part/view/DMN3016LSS" TargetMode="External"/><Relationship Id="rId_hyperlink_957" Type="http://schemas.openxmlformats.org/officeDocument/2006/relationships/hyperlink" Target="https://www.diodes.com/datasheet/download/DMN3018SFG.pdf" TargetMode="External"/><Relationship Id="rId_hyperlink_958" Type="http://schemas.openxmlformats.org/officeDocument/2006/relationships/hyperlink" Target="https://www.diodes.com/part/view/DMN3018SFG" TargetMode="External"/><Relationship Id="rId_hyperlink_959" Type="http://schemas.openxmlformats.org/officeDocument/2006/relationships/hyperlink" Target="https://www.diodes.com/datasheet/download/DMN3018SSD.pdf" TargetMode="External"/><Relationship Id="rId_hyperlink_960" Type="http://schemas.openxmlformats.org/officeDocument/2006/relationships/hyperlink" Target="https://www.diodes.com/part/view/DMN3018SSD" TargetMode="External"/><Relationship Id="rId_hyperlink_961" Type="http://schemas.openxmlformats.org/officeDocument/2006/relationships/hyperlink" Target="https://www.diodes.com/datasheet/download/DMN3018SSS.pdf" TargetMode="External"/><Relationship Id="rId_hyperlink_962" Type="http://schemas.openxmlformats.org/officeDocument/2006/relationships/hyperlink" Target="https://www.diodes.com/part/view/DMN3018SSS" TargetMode="External"/><Relationship Id="rId_hyperlink_963" Type="http://schemas.openxmlformats.org/officeDocument/2006/relationships/hyperlink" Target="https://www.diodes.com/datasheet/download/DMN3020UFDF.pdf" TargetMode="External"/><Relationship Id="rId_hyperlink_964" Type="http://schemas.openxmlformats.org/officeDocument/2006/relationships/hyperlink" Target="https://www.diodes.com/part/view/DMN3020UFDF" TargetMode="External"/><Relationship Id="rId_hyperlink_965" Type="http://schemas.openxmlformats.org/officeDocument/2006/relationships/hyperlink" Target="https://www.diodes.com/datasheet/download/DMN3020UFDFQ.pdf" TargetMode="External"/><Relationship Id="rId_hyperlink_966" Type="http://schemas.openxmlformats.org/officeDocument/2006/relationships/hyperlink" Target="https://www.diodes.com/part/view/DMN3020UFDFQ" TargetMode="External"/><Relationship Id="rId_hyperlink_967" Type="http://schemas.openxmlformats.org/officeDocument/2006/relationships/hyperlink" Target="https://www.diodes.com/datasheet/download/DMN3020UTS.pdf" TargetMode="External"/><Relationship Id="rId_hyperlink_968" Type="http://schemas.openxmlformats.org/officeDocument/2006/relationships/hyperlink" Target="https://www.diodes.com/part/view/DMN3020UTS" TargetMode="External"/><Relationship Id="rId_hyperlink_969" Type="http://schemas.openxmlformats.org/officeDocument/2006/relationships/hyperlink" Target="https://www.diodes.com/datasheet/download/DMN3021LFDF.pdf" TargetMode="External"/><Relationship Id="rId_hyperlink_970" Type="http://schemas.openxmlformats.org/officeDocument/2006/relationships/hyperlink" Target="https://www.diodes.com/part/view/DMN3021LFDF" TargetMode="External"/><Relationship Id="rId_hyperlink_971" Type="http://schemas.openxmlformats.org/officeDocument/2006/relationships/hyperlink" Target="https://www.diodes.com/datasheet/download/DMN3022LDG.pdf" TargetMode="External"/><Relationship Id="rId_hyperlink_972" Type="http://schemas.openxmlformats.org/officeDocument/2006/relationships/hyperlink" Target="https://www.diodes.com/part/view/DMN3022LDG" TargetMode="External"/><Relationship Id="rId_hyperlink_973" Type="http://schemas.openxmlformats.org/officeDocument/2006/relationships/hyperlink" Target="https://www.diodes.com/datasheet/download/DMN3022LFG.pdf" TargetMode="External"/><Relationship Id="rId_hyperlink_974" Type="http://schemas.openxmlformats.org/officeDocument/2006/relationships/hyperlink" Target="https://www.diodes.com/part/view/DMN3022LFG" TargetMode="External"/><Relationship Id="rId_hyperlink_975" Type="http://schemas.openxmlformats.org/officeDocument/2006/relationships/hyperlink" Target="https://www.diodes.com/datasheet/download/DMN3023L.pdf" TargetMode="External"/><Relationship Id="rId_hyperlink_976" Type="http://schemas.openxmlformats.org/officeDocument/2006/relationships/hyperlink" Target="https://www.diodes.com/part/view/DMN3023L" TargetMode="External"/><Relationship Id="rId_hyperlink_977" Type="http://schemas.openxmlformats.org/officeDocument/2006/relationships/hyperlink" Target="https://www.diodes.com/datasheet/download/DMN3024LK3.pdf" TargetMode="External"/><Relationship Id="rId_hyperlink_978" Type="http://schemas.openxmlformats.org/officeDocument/2006/relationships/hyperlink" Target="https://www.diodes.com/part/view/DMN3024LK3" TargetMode="External"/><Relationship Id="rId_hyperlink_979" Type="http://schemas.openxmlformats.org/officeDocument/2006/relationships/hyperlink" Target="https://www.diodes.com/datasheet/download/DMN3024LSD.pdf" TargetMode="External"/><Relationship Id="rId_hyperlink_980" Type="http://schemas.openxmlformats.org/officeDocument/2006/relationships/hyperlink" Target="https://www.diodes.com/part/view/DMN3024LSD" TargetMode="External"/><Relationship Id="rId_hyperlink_981" Type="http://schemas.openxmlformats.org/officeDocument/2006/relationships/hyperlink" Target="https://www.diodes.com/datasheet/download/DMN3024LSS.pdf" TargetMode="External"/><Relationship Id="rId_hyperlink_982" Type="http://schemas.openxmlformats.org/officeDocument/2006/relationships/hyperlink" Target="https://www.diodes.com/part/view/DMN3024LSS" TargetMode="External"/><Relationship Id="rId_hyperlink_983" Type="http://schemas.openxmlformats.org/officeDocument/2006/relationships/hyperlink" Target="https://www.diodes.com/datasheet/download/DMN3024SFG.pdf" TargetMode="External"/><Relationship Id="rId_hyperlink_984" Type="http://schemas.openxmlformats.org/officeDocument/2006/relationships/hyperlink" Target="https://www.diodes.com/part/view/DMN3024SFG" TargetMode="External"/><Relationship Id="rId_hyperlink_985" Type="http://schemas.openxmlformats.org/officeDocument/2006/relationships/hyperlink" Target="https://www.diodes.com/datasheet/download/DMN3025LFDF.pdf" TargetMode="External"/><Relationship Id="rId_hyperlink_986" Type="http://schemas.openxmlformats.org/officeDocument/2006/relationships/hyperlink" Target="https://www.diodes.com/part/view/DMN3025LFDF" TargetMode="External"/><Relationship Id="rId_hyperlink_987" Type="http://schemas.openxmlformats.org/officeDocument/2006/relationships/hyperlink" Target="https://www.diodes.com/datasheet/download/DMN3025LFG.pdf" TargetMode="External"/><Relationship Id="rId_hyperlink_988" Type="http://schemas.openxmlformats.org/officeDocument/2006/relationships/hyperlink" Target="https://www.diodes.com/part/view/DMN3025LFG" TargetMode="External"/><Relationship Id="rId_hyperlink_989" Type="http://schemas.openxmlformats.org/officeDocument/2006/relationships/hyperlink" Target="https://www.diodes.com/datasheet/download/DMN3025LFV.pdf" TargetMode="External"/><Relationship Id="rId_hyperlink_990" Type="http://schemas.openxmlformats.org/officeDocument/2006/relationships/hyperlink" Target="https://www.diodes.com/part/view/DMN3025LFV" TargetMode="External"/><Relationship Id="rId_hyperlink_991" Type="http://schemas.openxmlformats.org/officeDocument/2006/relationships/hyperlink" Target="https://www.diodes.com/datasheet/download/DMN3025LSS.pdf" TargetMode="External"/><Relationship Id="rId_hyperlink_992" Type="http://schemas.openxmlformats.org/officeDocument/2006/relationships/hyperlink" Target="https://www.diodes.com/part/view/DMN3025LSS" TargetMode="External"/><Relationship Id="rId_hyperlink_993" Type="http://schemas.openxmlformats.org/officeDocument/2006/relationships/hyperlink" Target="https://www.diodes.com/datasheet/download/DMN3026LVT.pdf" TargetMode="External"/><Relationship Id="rId_hyperlink_994" Type="http://schemas.openxmlformats.org/officeDocument/2006/relationships/hyperlink" Target="https://www.diodes.com/part/view/DMN3026LVT" TargetMode="External"/><Relationship Id="rId_hyperlink_995" Type="http://schemas.openxmlformats.org/officeDocument/2006/relationships/hyperlink" Target="https://www.diodes.com/datasheet/download/DMN3026LVTQ.pdf" TargetMode="External"/><Relationship Id="rId_hyperlink_996" Type="http://schemas.openxmlformats.org/officeDocument/2006/relationships/hyperlink" Target="https://www.diodes.com/part/view/DMN3026LVTQ" TargetMode="External"/><Relationship Id="rId_hyperlink_997" Type="http://schemas.openxmlformats.org/officeDocument/2006/relationships/hyperlink" Target="https://www.diodes.com/datasheet/download/DMN3027LFG.pdf" TargetMode="External"/><Relationship Id="rId_hyperlink_998" Type="http://schemas.openxmlformats.org/officeDocument/2006/relationships/hyperlink" Target="https://www.diodes.com/part/view/DMN3027LFG" TargetMode="External"/><Relationship Id="rId_hyperlink_999" Type="http://schemas.openxmlformats.org/officeDocument/2006/relationships/hyperlink" Target="https://www.diodes.com/datasheet/download/DMN3028L.pdf" TargetMode="External"/><Relationship Id="rId_hyperlink_1000" Type="http://schemas.openxmlformats.org/officeDocument/2006/relationships/hyperlink" Target="https://www.diodes.com/part/view/DMN3028L" TargetMode="External"/><Relationship Id="rId_hyperlink_1001" Type="http://schemas.openxmlformats.org/officeDocument/2006/relationships/hyperlink" Target="https://www.diodes.com/datasheet/download/DMN3028LQ.pdf" TargetMode="External"/><Relationship Id="rId_hyperlink_1002" Type="http://schemas.openxmlformats.org/officeDocument/2006/relationships/hyperlink" Target="https://www.diodes.com/part/view/DMN3028LQ" TargetMode="External"/><Relationship Id="rId_hyperlink_1003" Type="http://schemas.openxmlformats.org/officeDocument/2006/relationships/hyperlink" Target="https://www.diodes.com/datasheet/download/DMN3029LFG.pdf" TargetMode="External"/><Relationship Id="rId_hyperlink_1004" Type="http://schemas.openxmlformats.org/officeDocument/2006/relationships/hyperlink" Target="https://www.diodes.com/part/view/DMN3029LFG" TargetMode="External"/><Relationship Id="rId_hyperlink_1005" Type="http://schemas.openxmlformats.org/officeDocument/2006/relationships/hyperlink" Target="https://www.diodes.com/datasheet/download/DMN3030LSS.pdf" TargetMode="External"/><Relationship Id="rId_hyperlink_1006" Type="http://schemas.openxmlformats.org/officeDocument/2006/relationships/hyperlink" Target="https://www.diodes.com/part/view/DMN3030LSS" TargetMode="External"/><Relationship Id="rId_hyperlink_1007" Type="http://schemas.openxmlformats.org/officeDocument/2006/relationships/hyperlink" Target="https://www.diodes.com/datasheet/download/DMN3032L.pdf" TargetMode="External"/><Relationship Id="rId_hyperlink_1008" Type="http://schemas.openxmlformats.org/officeDocument/2006/relationships/hyperlink" Target="https://www.diodes.com/part/view/DMN3032L" TargetMode="External"/><Relationship Id="rId_hyperlink_1009" Type="http://schemas.openxmlformats.org/officeDocument/2006/relationships/hyperlink" Target="https://www.diodes.com/datasheet/download/DMN3032LE.pdf" TargetMode="External"/><Relationship Id="rId_hyperlink_1010" Type="http://schemas.openxmlformats.org/officeDocument/2006/relationships/hyperlink" Target="https://www.diodes.com/part/view/DMN3032LE" TargetMode="External"/><Relationship Id="rId_hyperlink_1011" Type="http://schemas.openxmlformats.org/officeDocument/2006/relationships/hyperlink" Target="https://www.diodes.com/datasheet/download/DMN3032LFDB.pdf" TargetMode="External"/><Relationship Id="rId_hyperlink_1012" Type="http://schemas.openxmlformats.org/officeDocument/2006/relationships/hyperlink" Target="https://www.diodes.com/part/view/DMN3032LFDB" TargetMode="External"/><Relationship Id="rId_hyperlink_1013" Type="http://schemas.openxmlformats.org/officeDocument/2006/relationships/hyperlink" Target="https://www.diodes.com/datasheet/download/DMN3032LFDBQ.pdf" TargetMode="External"/><Relationship Id="rId_hyperlink_1014" Type="http://schemas.openxmlformats.org/officeDocument/2006/relationships/hyperlink" Target="https://www.diodes.com/part/view/DMN3032LFDBQ" TargetMode="External"/><Relationship Id="rId_hyperlink_1015" Type="http://schemas.openxmlformats.org/officeDocument/2006/relationships/hyperlink" Target="https://www.diodes.com/datasheet/download/DMN3032LFDBWQ.pdf" TargetMode="External"/><Relationship Id="rId_hyperlink_1016" Type="http://schemas.openxmlformats.org/officeDocument/2006/relationships/hyperlink" Target="https://www.diodes.com/part/view/DMN3032LFDBWQ" TargetMode="External"/><Relationship Id="rId_hyperlink_1017" Type="http://schemas.openxmlformats.org/officeDocument/2006/relationships/hyperlink" Target="https://www.diodes.com/datasheet/download/DMN3032LQ.pdf" TargetMode="External"/><Relationship Id="rId_hyperlink_1018" Type="http://schemas.openxmlformats.org/officeDocument/2006/relationships/hyperlink" Target="https://www.diodes.com/part/view/DMN3032LQ" TargetMode="External"/><Relationship Id="rId_hyperlink_1019" Type="http://schemas.openxmlformats.org/officeDocument/2006/relationships/hyperlink" Target="https://www.diodes.com/datasheet/download/DMN3033LDM.pdf" TargetMode="External"/><Relationship Id="rId_hyperlink_1020" Type="http://schemas.openxmlformats.org/officeDocument/2006/relationships/hyperlink" Target="https://www.diodes.com/part/view/DMN3033LDM" TargetMode="External"/><Relationship Id="rId_hyperlink_1021" Type="http://schemas.openxmlformats.org/officeDocument/2006/relationships/hyperlink" Target="https://www.diodes.com/datasheet/download/DMN3033LSD.pdf" TargetMode="External"/><Relationship Id="rId_hyperlink_1022" Type="http://schemas.openxmlformats.org/officeDocument/2006/relationships/hyperlink" Target="https://www.diodes.com/part/view/DMN3033LSD" TargetMode="External"/><Relationship Id="rId_hyperlink_1023" Type="http://schemas.openxmlformats.org/officeDocument/2006/relationships/hyperlink" Target="https://www.diodes.com/datasheet/download/DMN3033LSDQ.pdf" TargetMode="External"/><Relationship Id="rId_hyperlink_1024" Type="http://schemas.openxmlformats.org/officeDocument/2006/relationships/hyperlink" Target="https://www.diodes.com/part/view/DMN3033LSDQ" TargetMode="External"/><Relationship Id="rId_hyperlink_1025" Type="http://schemas.openxmlformats.org/officeDocument/2006/relationships/hyperlink" Target="https://www.diodes.com/datasheet/download/DMN3033LSN.pdf" TargetMode="External"/><Relationship Id="rId_hyperlink_1026" Type="http://schemas.openxmlformats.org/officeDocument/2006/relationships/hyperlink" Target="https://www.diodes.com/part/view/DMN3033LSN" TargetMode="External"/><Relationship Id="rId_hyperlink_1027" Type="http://schemas.openxmlformats.org/officeDocument/2006/relationships/hyperlink" Target="https://www.diodes.com/datasheet/download/DMN3033LSNQ.pdf" TargetMode="External"/><Relationship Id="rId_hyperlink_1028" Type="http://schemas.openxmlformats.org/officeDocument/2006/relationships/hyperlink" Target="https://www.diodes.com/part/view/DMN3033LSNQ" TargetMode="External"/><Relationship Id="rId_hyperlink_1029" Type="http://schemas.openxmlformats.org/officeDocument/2006/relationships/hyperlink" Target="https://www.diodes.com/datasheet/download/DMN3035LWN.pdf" TargetMode="External"/><Relationship Id="rId_hyperlink_1030" Type="http://schemas.openxmlformats.org/officeDocument/2006/relationships/hyperlink" Target="https://www.diodes.com/part/view/DMN3035LWN" TargetMode="External"/><Relationship Id="rId_hyperlink_1031" Type="http://schemas.openxmlformats.org/officeDocument/2006/relationships/hyperlink" Target="https://www.diodes.com/datasheet/download/DMN3042L.pdf" TargetMode="External"/><Relationship Id="rId_hyperlink_1032" Type="http://schemas.openxmlformats.org/officeDocument/2006/relationships/hyperlink" Target="https://www.diodes.com/part/view/DMN3042L" TargetMode="External"/><Relationship Id="rId_hyperlink_1033" Type="http://schemas.openxmlformats.org/officeDocument/2006/relationships/hyperlink" Target="https://www.diodes.com/datasheet/download/DMN3042LFDF.pdf" TargetMode="External"/><Relationship Id="rId_hyperlink_1034" Type="http://schemas.openxmlformats.org/officeDocument/2006/relationships/hyperlink" Target="https://www.diodes.com/part/view/DMN3042LFDF" TargetMode="External"/><Relationship Id="rId_hyperlink_1035" Type="http://schemas.openxmlformats.org/officeDocument/2006/relationships/hyperlink" Target="https://www.diodes.com/datasheet/download/DMN3051L.pdf" TargetMode="External"/><Relationship Id="rId_hyperlink_1036" Type="http://schemas.openxmlformats.org/officeDocument/2006/relationships/hyperlink" Target="https://www.diodes.com/part/view/DMN3051L" TargetMode="External"/><Relationship Id="rId_hyperlink_1037" Type="http://schemas.openxmlformats.org/officeDocument/2006/relationships/hyperlink" Target="https://www.diodes.com/datasheet/download/DMN3051LDM.pdf" TargetMode="External"/><Relationship Id="rId_hyperlink_1038" Type="http://schemas.openxmlformats.org/officeDocument/2006/relationships/hyperlink" Target="https://www.diodes.com/part/view/DMN3051LDM" TargetMode="External"/><Relationship Id="rId_hyperlink_1039" Type="http://schemas.openxmlformats.org/officeDocument/2006/relationships/hyperlink" Target="https://www.diodes.com/datasheet/download/DMN3053L.pdf" TargetMode="External"/><Relationship Id="rId_hyperlink_1040" Type="http://schemas.openxmlformats.org/officeDocument/2006/relationships/hyperlink" Target="https://www.diodes.com/part/view/DMN3053L" TargetMode="External"/><Relationship Id="rId_hyperlink_1041" Type="http://schemas.openxmlformats.org/officeDocument/2006/relationships/hyperlink" Target="https://www.diodes.com/datasheet/download/DMN3055LFDB.pdf" TargetMode="External"/><Relationship Id="rId_hyperlink_1042" Type="http://schemas.openxmlformats.org/officeDocument/2006/relationships/hyperlink" Target="https://www.diodes.com/part/view/DMN3055LFDB" TargetMode="External"/><Relationship Id="rId_hyperlink_1043" Type="http://schemas.openxmlformats.org/officeDocument/2006/relationships/hyperlink" Target="https://www.diodes.com/datasheet/download/DMN3055LFDBQ.pdf" TargetMode="External"/><Relationship Id="rId_hyperlink_1044" Type="http://schemas.openxmlformats.org/officeDocument/2006/relationships/hyperlink" Target="https://www.diodes.com/part/view/DMN3055LFDBQ" TargetMode="External"/><Relationship Id="rId_hyperlink_1045" Type="http://schemas.openxmlformats.org/officeDocument/2006/relationships/hyperlink" Target="https://www.diodes.com/datasheet/download/DMN3060LCA3.pdf" TargetMode="External"/><Relationship Id="rId_hyperlink_1046" Type="http://schemas.openxmlformats.org/officeDocument/2006/relationships/hyperlink" Target="https://www.diodes.com/part/view/DMN3060LCA3" TargetMode="External"/><Relationship Id="rId_hyperlink_1047" Type="http://schemas.openxmlformats.org/officeDocument/2006/relationships/hyperlink" Target="https://www.diodes.com/datasheet/download/DMN3060LVT.pdf" TargetMode="External"/><Relationship Id="rId_hyperlink_1048" Type="http://schemas.openxmlformats.org/officeDocument/2006/relationships/hyperlink" Target="https://www.diodes.com/part/view/DMN3060LVT" TargetMode="External"/><Relationship Id="rId_hyperlink_1049" Type="http://schemas.openxmlformats.org/officeDocument/2006/relationships/hyperlink" Target="https://www.diodes.com/datasheet/download/DMN3060LW.pdf" TargetMode="External"/><Relationship Id="rId_hyperlink_1050" Type="http://schemas.openxmlformats.org/officeDocument/2006/relationships/hyperlink" Target="https://www.diodes.com/part/view/DMN3060LW" TargetMode="External"/><Relationship Id="rId_hyperlink_1051" Type="http://schemas.openxmlformats.org/officeDocument/2006/relationships/hyperlink" Target="https://www.diodes.com/datasheet/download/DMN3060LWQ.pdf" TargetMode="External"/><Relationship Id="rId_hyperlink_1052" Type="http://schemas.openxmlformats.org/officeDocument/2006/relationships/hyperlink" Target="https://www.diodes.com/part/view/DMN3060LWQ" TargetMode="External"/><Relationship Id="rId_hyperlink_1053" Type="http://schemas.openxmlformats.org/officeDocument/2006/relationships/hyperlink" Target="https://www.diodes.com/datasheet/download/DMN3061LCA3.pdf" TargetMode="External"/><Relationship Id="rId_hyperlink_1054" Type="http://schemas.openxmlformats.org/officeDocument/2006/relationships/hyperlink" Target="https://www.diodes.com/part/view/DMN3061LCA3" TargetMode="External"/><Relationship Id="rId_hyperlink_1055" Type="http://schemas.openxmlformats.org/officeDocument/2006/relationships/hyperlink" Target="https://www.diodes.com/datasheet/download/DMN3061S.pdf" TargetMode="External"/><Relationship Id="rId_hyperlink_1056" Type="http://schemas.openxmlformats.org/officeDocument/2006/relationships/hyperlink" Target="https://www.diodes.com/part/view/DMN3061S" TargetMode="External"/><Relationship Id="rId_hyperlink_1057" Type="http://schemas.openxmlformats.org/officeDocument/2006/relationships/hyperlink" Target="https://www.diodes.com/datasheet/download/DMN3061SQ.pdf" TargetMode="External"/><Relationship Id="rId_hyperlink_1058" Type="http://schemas.openxmlformats.org/officeDocument/2006/relationships/hyperlink" Target="https://www.diodes.com/part/view/DMN3061SQ" TargetMode="External"/><Relationship Id="rId_hyperlink_1059" Type="http://schemas.openxmlformats.org/officeDocument/2006/relationships/hyperlink" Target="https://www.diodes.com/datasheet/download/DMN3061SVT.pdf" TargetMode="External"/><Relationship Id="rId_hyperlink_1060" Type="http://schemas.openxmlformats.org/officeDocument/2006/relationships/hyperlink" Target="https://www.diodes.com/part/view/DMN3061SVT" TargetMode="External"/><Relationship Id="rId_hyperlink_1061" Type="http://schemas.openxmlformats.org/officeDocument/2006/relationships/hyperlink" Target="https://www.diodes.com/datasheet/download/DMN3061SVTQ.pdf" TargetMode="External"/><Relationship Id="rId_hyperlink_1062" Type="http://schemas.openxmlformats.org/officeDocument/2006/relationships/hyperlink" Target="https://www.diodes.com/part/view/DMN3061SVTQ" TargetMode="External"/><Relationship Id="rId_hyperlink_1063" Type="http://schemas.openxmlformats.org/officeDocument/2006/relationships/hyperlink" Target="https://www.diodes.com/datasheet/download/DMN3061SW.pdf" TargetMode="External"/><Relationship Id="rId_hyperlink_1064" Type="http://schemas.openxmlformats.org/officeDocument/2006/relationships/hyperlink" Target="https://www.diodes.com/part/view/DMN3061SW" TargetMode="External"/><Relationship Id="rId_hyperlink_1065" Type="http://schemas.openxmlformats.org/officeDocument/2006/relationships/hyperlink" Target="https://www.diodes.com/datasheet/download/DMN3061SWQ.pdf" TargetMode="External"/><Relationship Id="rId_hyperlink_1066" Type="http://schemas.openxmlformats.org/officeDocument/2006/relationships/hyperlink" Target="https://www.diodes.com/part/view/DMN3061SWQ" TargetMode="External"/><Relationship Id="rId_hyperlink_1067" Type="http://schemas.openxmlformats.org/officeDocument/2006/relationships/hyperlink" Target="https://www.diodes.com/datasheet/download/DMN3065LW.pdf" TargetMode="External"/><Relationship Id="rId_hyperlink_1068" Type="http://schemas.openxmlformats.org/officeDocument/2006/relationships/hyperlink" Target="https://www.diodes.com/part/view/DMN3065LW" TargetMode="External"/><Relationship Id="rId_hyperlink_1069" Type="http://schemas.openxmlformats.org/officeDocument/2006/relationships/hyperlink" Target="https://www.diodes.com/datasheet/download/DMN3066L.pdf" TargetMode="External"/><Relationship Id="rId_hyperlink_1070" Type="http://schemas.openxmlformats.org/officeDocument/2006/relationships/hyperlink" Target="https://www.diodes.com/part/view/DMN3066L" TargetMode="External"/><Relationship Id="rId_hyperlink_1071" Type="http://schemas.openxmlformats.org/officeDocument/2006/relationships/hyperlink" Target="https://www.diodes.com/datasheet/download/DMN3066LQ.pdf" TargetMode="External"/><Relationship Id="rId_hyperlink_1072" Type="http://schemas.openxmlformats.org/officeDocument/2006/relationships/hyperlink" Target="https://www.diodes.com/part/view/DMN3066LQ" TargetMode="External"/><Relationship Id="rId_hyperlink_1073" Type="http://schemas.openxmlformats.org/officeDocument/2006/relationships/hyperlink" Target="https://www.diodes.com/datasheet/download/DMN3066LVT.pdf" TargetMode="External"/><Relationship Id="rId_hyperlink_1074" Type="http://schemas.openxmlformats.org/officeDocument/2006/relationships/hyperlink" Target="https://www.diodes.com/part/view/DMN3066LVT" TargetMode="External"/><Relationship Id="rId_hyperlink_1075" Type="http://schemas.openxmlformats.org/officeDocument/2006/relationships/hyperlink" Target="https://www.diodes.com/datasheet/download/DMN3066LVTQ.pdf" TargetMode="External"/><Relationship Id="rId_hyperlink_1076" Type="http://schemas.openxmlformats.org/officeDocument/2006/relationships/hyperlink" Target="https://www.diodes.com/part/view/DMN3066LVTQ" TargetMode="External"/><Relationship Id="rId_hyperlink_1077" Type="http://schemas.openxmlformats.org/officeDocument/2006/relationships/hyperlink" Target="https://www.diodes.com/datasheet/download/DMN3067LW.pdf" TargetMode="External"/><Relationship Id="rId_hyperlink_1078" Type="http://schemas.openxmlformats.org/officeDocument/2006/relationships/hyperlink" Target="https://www.diodes.com/part/view/DMN3067LW" TargetMode="External"/><Relationship Id="rId_hyperlink_1079" Type="http://schemas.openxmlformats.org/officeDocument/2006/relationships/hyperlink" Target="https://www.diodes.com/datasheet/download/DMN3069L.pdf" TargetMode="External"/><Relationship Id="rId_hyperlink_1080" Type="http://schemas.openxmlformats.org/officeDocument/2006/relationships/hyperlink" Target="https://www.diodes.com/part/view/DMN3069L" TargetMode="External"/><Relationship Id="rId_hyperlink_1081" Type="http://schemas.openxmlformats.org/officeDocument/2006/relationships/hyperlink" Target="https://www.diodes.com/datasheet/download/DMN3070SSN.pdf" TargetMode="External"/><Relationship Id="rId_hyperlink_1082" Type="http://schemas.openxmlformats.org/officeDocument/2006/relationships/hyperlink" Target="https://www.diodes.com/part/view/DMN3070SSN" TargetMode="External"/><Relationship Id="rId_hyperlink_1083" Type="http://schemas.openxmlformats.org/officeDocument/2006/relationships/hyperlink" Target="https://www.diodes.com/datasheet/download/DMN3071LFR4.pdf" TargetMode="External"/><Relationship Id="rId_hyperlink_1084" Type="http://schemas.openxmlformats.org/officeDocument/2006/relationships/hyperlink" Target="https://www.diodes.com/part/view/DMN3071LFR4" TargetMode="External"/><Relationship Id="rId_hyperlink_1085" Type="http://schemas.openxmlformats.org/officeDocument/2006/relationships/hyperlink" Target="https://www.diodes.com/datasheet/download/DMN3071LVT.pdf" TargetMode="External"/><Relationship Id="rId_hyperlink_1086" Type="http://schemas.openxmlformats.org/officeDocument/2006/relationships/hyperlink" Target="https://www.diodes.com/part/view/DMN3071LVT" TargetMode="External"/><Relationship Id="rId_hyperlink_1087" Type="http://schemas.openxmlformats.org/officeDocument/2006/relationships/hyperlink" Target="https://www.diodes.com/datasheet/download/DMN30H4D0L.pdf" TargetMode="External"/><Relationship Id="rId_hyperlink_1088" Type="http://schemas.openxmlformats.org/officeDocument/2006/relationships/hyperlink" Target="https://www.diodes.com/part/view/DMN30H4D0L" TargetMode="External"/><Relationship Id="rId_hyperlink_1089" Type="http://schemas.openxmlformats.org/officeDocument/2006/relationships/hyperlink" Target="https://www.diodes.com/datasheet/download/DMN30H4D0LFDE.pdf" TargetMode="External"/><Relationship Id="rId_hyperlink_1090" Type="http://schemas.openxmlformats.org/officeDocument/2006/relationships/hyperlink" Target="https://www.diodes.com/part/view/DMN30H4D0LFDE" TargetMode="External"/><Relationship Id="rId_hyperlink_1091" Type="http://schemas.openxmlformats.org/officeDocument/2006/relationships/hyperlink" Target="https://www.diodes.com/datasheet/download/DMN3110S.pdf" TargetMode="External"/><Relationship Id="rId_hyperlink_1092" Type="http://schemas.openxmlformats.org/officeDocument/2006/relationships/hyperlink" Target="https://www.diodes.com/part/view/DMN3110S" TargetMode="External"/><Relationship Id="rId_hyperlink_1093" Type="http://schemas.openxmlformats.org/officeDocument/2006/relationships/hyperlink" Target="https://www.diodes.com/datasheet/download/DMN3112SQ.pdf" TargetMode="External"/><Relationship Id="rId_hyperlink_1094" Type="http://schemas.openxmlformats.org/officeDocument/2006/relationships/hyperlink" Target="https://www.diodes.com/part/view/DMN3112SQ" TargetMode="External"/><Relationship Id="rId_hyperlink_1095" Type="http://schemas.openxmlformats.org/officeDocument/2006/relationships/hyperlink" Target="https://www.diodes.com/datasheet/download/DMN3135LVT.pdf" TargetMode="External"/><Relationship Id="rId_hyperlink_1096" Type="http://schemas.openxmlformats.org/officeDocument/2006/relationships/hyperlink" Target="https://www.diodes.com/part/view/DMN3135LVT" TargetMode="External"/><Relationship Id="rId_hyperlink_1097" Type="http://schemas.openxmlformats.org/officeDocument/2006/relationships/hyperlink" Target="https://www.diodes.com/datasheet/download/DMN313DLT.pdf" TargetMode="External"/><Relationship Id="rId_hyperlink_1098" Type="http://schemas.openxmlformats.org/officeDocument/2006/relationships/hyperlink" Target="https://www.diodes.com/part/view/DMN313DLT" TargetMode="External"/><Relationship Id="rId_hyperlink_1099" Type="http://schemas.openxmlformats.org/officeDocument/2006/relationships/hyperlink" Target="https://www.diodes.com/datasheet/download/DMN3150L.pdf" TargetMode="External"/><Relationship Id="rId_hyperlink_1100" Type="http://schemas.openxmlformats.org/officeDocument/2006/relationships/hyperlink" Target="https://www.diodes.com/part/view/DMN3150L" TargetMode="External"/><Relationship Id="rId_hyperlink_1101" Type="http://schemas.openxmlformats.org/officeDocument/2006/relationships/hyperlink" Target="https://www.diodes.com/datasheet/download/DMN3150LW.pdf" TargetMode="External"/><Relationship Id="rId_hyperlink_1102" Type="http://schemas.openxmlformats.org/officeDocument/2006/relationships/hyperlink" Target="https://www.diodes.com/part/view/DMN3150LW" TargetMode="External"/><Relationship Id="rId_hyperlink_1103" Type="http://schemas.openxmlformats.org/officeDocument/2006/relationships/hyperlink" Target="https://www.diodes.com/datasheet/download/DMN3190LDW.pdf" TargetMode="External"/><Relationship Id="rId_hyperlink_1104" Type="http://schemas.openxmlformats.org/officeDocument/2006/relationships/hyperlink" Target="https://www.diodes.com/part/view/DMN3190LDW" TargetMode="External"/><Relationship Id="rId_hyperlink_1105" Type="http://schemas.openxmlformats.org/officeDocument/2006/relationships/hyperlink" Target="https://www.diodes.com/datasheet/download/DMN3190LDWQ.pdf" TargetMode="External"/><Relationship Id="rId_hyperlink_1106" Type="http://schemas.openxmlformats.org/officeDocument/2006/relationships/hyperlink" Target="https://www.diodes.com/part/view/DMN3190LDWQ" TargetMode="External"/><Relationship Id="rId_hyperlink_1107" Type="http://schemas.openxmlformats.org/officeDocument/2006/relationships/hyperlink" Target="https://www.diodes.com/datasheet/download/DMN31D4UFZ.pdf" TargetMode="External"/><Relationship Id="rId_hyperlink_1108" Type="http://schemas.openxmlformats.org/officeDocument/2006/relationships/hyperlink" Target="https://www.diodes.com/part/view/DMN31D4UFZ" TargetMode="External"/><Relationship Id="rId_hyperlink_1109" Type="http://schemas.openxmlformats.org/officeDocument/2006/relationships/hyperlink" Target="https://www.diodes.com/datasheet/download/DMN31D5L.pdf" TargetMode="External"/><Relationship Id="rId_hyperlink_1110" Type="http://schemas.openxmlformats.org/officeDocument/2006/relationships/hyperlink" Target="https://www.diodes.com/part/view/DMN31D5L" TargetMode="External"/><Relationship Id="rId_hyperlink_1111" Type="http://schemas.openxmlformats.org/officeDocument/2006/relationships/hyperlink" Target="https://www.diodes.com/datasheet/download/DMN31D5UDA.pdf" TargetMode="External"/><Relationship Id="rId_hyperlink_1112" Type="http://schemas.openxmlformats.org/officeDocument/2006/relationships/hyperlink" Target="https://www.diodes.com/part/view/DMN31D5UDA" TargetMode="External"/><Relationship Id="rId_hyperlink_1113" Type="http://schemas.openxmlformats.org/officeDocument/2006/relationships/hyperlink" Target="https://www.diodes.com/datasheet/download/DMN31D5UDAQ.pdf" TargetMode="External"/><Relationship Id="rId_hyperlink_1114" Type="http://schemas.openxmlformats.org/officeDocument/2006/relationships/hyperlink" Target="https://www.diodes.com/part/view/DMN31D5UDAQ" TargetMode="External"/><Relationship Id="rId_hyperlink_1115" Type="http://schemas.openxmlformats.org/officeDocument/2006/relationships/hyperlink" Target="https://www.diodes.com/datasheet/download/DMN31D5UDJ.pdf" TargetMode="External"/><Relationship Id="rId_hyperlink_1116" Type="http://schemas.openxmlformats.org/officeDocument/2006/relationships/hyperlink" Target="https://www.diodes.com/part/view/DMN31D5UDJ" TargetMode="External"/><Relationship Id="rId_hyperlink_1117" Type="http://schemas.openxmlformats.org/officeDocument/2006/relationships/hyperlink" Target="https://www.diodes.com/datasheet/download/DMN31D5UDR4.pdf" TargetMode="External"/><Relationship Id="rId_hyperlink_1118" Type="http://schemas.openxmlformats.org/officeDocument/2006/relationships/hyperlink" Target="https://www.diodes.com/part/view/DMN31D5UDR4" TargetMode="External"/><Relationship Id="rId_hyperlink_1119" Type="http://schemas.openxmlformats.org/officeDocument/2006/relationships/hyperlink" Target="https://www.diodes.com/datasheet/download/DMN31D5UDW.pdf" TargetMode="External"/><Relationship Id="rId_hyperlink_1120" Type="http://schemas.openxmlformats.org/officeDocument/2006/relationships/hyperlink" Target="https://www.diodes.com/part/view/DMN31D5UDW" TargetMode="External"/><Relationship Id="rId_hyperlink_1121" Type="http://schemas.openxmlformats.org/officeDocument/2006/relationships/hyperlink" Target="https://www.diodes.com/datasheet/download/DMN31D5UFA.pdf" TargetMode="External"/><Relationship Id="rId_hyperlink_1122" Type="http://schemas.openxmlformats.org/officeDocument/2006/relationships/hyperlink" Target="https://www.diodes.com/part/view/DMN31D5UFA" TargetMode="External"/><Relationship Id="rId_hyperlink_1123" Type="http://schemas.openxmlformats.org/officeDocument/2006/relationships/hyperlink" Target="https://www.diodes.com/datasheet/download/DMN31D5UFO.pdf" TargetMode="External"/><Relationship Id="rId_hyperlink_1124" Type="http://schemas.openxmlformats.org/officeDocument/2006/relationships/hyperlink" Target="https://www.diodes.com/part/view/DMN31D5UFO" TargetMode="External"/><Relationship Id="rId_hyperlink_1125" Type="http://schemas.openxmlformats.org/officeDocument/2006/relationships/hyperlink" Target="https://www.diodes.com/datasheet/download/DMN31D5UFZ.pdf" TargetMode="External"/><Relationship Id="rId_hyperlink_1126" Type="http://schemas.openxmlformats.org/officeDocument/2006/relationships/hyperlink" Target="https://www.diodes.com/part/view/DMN31D5UFZ" TargetMode="External"/><Relationship Id="rId_hyperlink_1127" Type="http://schemas.openxmlformats.org/officeDocument/2006/relationships/hyperlink" Target="https://www.diodes.com/datasheet/download/DMN31D5UFZQ.pdf" TargetMode="External"/><Relationship Id="rId_hyperlink_1128" Type="http://schemas.openxmlformats.org/officeDocument/2006/relationships/hyperlink" Target="https://www.diodes.com/part/view/DMN31D5UFZQ" TargetMode="External"/><Relationship Id="rId_hyperlink_1129" Type="http://schemas.openxmlformats.org/officeDocument/2006/relationships/hyperlink" Target="https://www.diodes.com/datasheet/download/DMN31D6UT.pdf" TargetMode="External"/><Relationship Id="rId_hyperlink_1130" Type="http://schemas.openxmlformats.org/officeDocument/2006/relationships/hyperlink" Target="https://www.diodes.com/part/view/DMN31D6UT" TargetMode="External"/><Relationship Id="rId_hyperlink_1131" Type="http://schemas.openxmlformats.org/officeDocument/2006/relationships/hyperlink" Target="https://www.diodes.com/datasheet/download/DMN3200U.pdf" TargetMode="External"/><Relationship Id="rId_hyperlink_1132" Type="http://schemas.openxmlformats.org/officeDocument/2006/relationships/hyperlink" Target="https://www.diodes.com/part/view/DMN3200U" TargetMode="External"/><Relationship Id="rId_hyperlink_1133" Type="http://schemas.openxmlformats.org/officeDocument/2006/relationships/hyperlink" Target="https://www.diodes.com/datasheet/download/DMN3270UVT.pdf" TargetMode="External"/><Relationship Id="rId_hyperlink_1134" Type="http://schemas.openxmlformats.org/officeDocument/2006/relationships/hyperlink" Target="https://www.diodes.com/part/view/DMN3270UVT" TargetMode="External"/><Relationship Id="rId_hyperlink_1135" Type="http://schemas.openxmlformats.org/officeDocument/2006/relationships/hyperlink" Target="https://www.diodes.com/datasheet/download/DMN32D0LFB4.pdf" TargetMode="External"/><Relationship Id="rId_hyperlink_1136" Type="http://schemas.openxmlformats.org/officeDocument/2006/relationships/hyperlink" Target="https://www.diodes.com/part/view/DMN32D0LFB4" TargetMode="External"/><Relationship Id="rId_hyperlink_1137" Type="http://schemas.openxmlformats.org/officeDocument/2006/relationships/hyperlink" Target="https://www.diodes.com/datasheet/download/DMN32D0LV.pdf" TargetMode="External"/><Relationship Id="rId_hyperlink_1138" Type="http://schemas.openxmlformats.org/officeDocument/2006/relationships/hyperlink" Target="https://www.diodes.com/part/view/DMN32D0LV" TargetMode="External"/><Relationship Id="rId_hyperlink_1139" Type="http://schemas.openxmlformats.org/officeDocument/2006/relationships/hyperlink" Target="https://www.diodes.com/datasheet/download/DMN32D0LVQ.pdf" TargetMode="External"/><Relationship Id="rId_hyperlink_1140" Type="http://schemas.openxmlformats.org/officeDocument/2006/relationships/hyperlink" Target="https://www.diodes.com/part/view/DMN32D0LVQ" TargetMode="External"/><Relationship Id="rId_hyperlink_1141" Type="http://schemas.openxmlformats.org/officeDocument/2006/relationships/hyperlink" Target="https://www.diodes.com/datasheet/download/DMN32D2LDF.pdf" TargetMode="External"/><Relationship Id="rId_hyperlink_1142" Type="http://schemas.openxmlformats.org/officeDocument/2006/relationships/hyperlink" Target="https://www.diodes.com/part/view/DMN32D2LDF" TargetMode="External"/><Relationship Id="rId_hyperlink_1143" Type="http://schemas.openxmlformats.org/officeDocument/2006/relationships/hyperlink" Target="https://www.diodes.com/datasheet/download/DMN32D2LFB4.pdf" TargetMode="External"/><Relationship Id="rId_hyperlink_1144" Type="http://schemas.openxmlformats.org/officeDocument/2006/relationships/hyperlink" Target="https://www.diodes.com/part/view/DMN32D2LFB4" TargetMode="External"/><Relationship Id="rId_hyperlink_1145" Type="http://schemas.openxmlformats.org/officeDocument/2006/relationships/hyperlink" Target="https://www.diodes.com/datasheet/download/DMN32D4SDW.pdf" TargetMode="External"/><Relationship Id="rId_hyperlink_1146" Type="http://schemas.openxmlformats.org/officeDocument/2006/relationships/hyperlink" Target="https://www.diodes.com/part/view/DMN32D4SDW" TargetMode="External"/><Relationship Id="rId_hyperlink_1147" Type="http://schemas.openxmlformats.org/officeDocument/2006/relationships/hyperlink" Target="https://www.diodes.com/datasheet/download/DMN32M6LCA8.pdf" TargetMode="External"/><Relationship Id="rId_hyperlink_1148" Type="http://schemas.openxmlformats.org/officeDocument/2006/relationships/hyperlink" Target="https://www.diodes.com/part/view/DMN32M6LCA8" TargetMode="External"/><Relationship Id="rId_hyperlink_1149" Type="http://schemas.openxmlformats.org/officeDocument/2006/relationships/hyperlink" Target="https://www.diodes.com/datasheet/download/DMN3300U.pdf" TargetMode="External"/><Relationship Id="rId_hyperlink_1150" Type="http://schemas.openxmlformats.org/officeDocument/2006/relationships/hyperlink" Target="https://www.diodes.com/part/view/DMN3300U" TargetMode="External"/><Relationship Id="rId_hyperlink_1151" Type="http://schemas.openxmlformats.org/officeDocument/2006/relationships/hyperlink" Target="https://www.diodes.com/datasheet/download/DMN3300UQ.pdf" TargetMode="External"/><Relationship Id="rId_hyperlink_1152" Type="http://schemas.openxmlformats.org/officeDocument/2006/relationships/hyperlink" Target="https://www.diodes.com/part/view/DMN3300UQ" TargetMode="External"/><Relationship Id="rId_hyperlink_1153" Type="http://schemas.openxmlformats.org/officeDocument/2006/relationships/hyperlink" Target="https://www.diodes.com/datasheet/download/DMN3350LDW.pdf" TargetMode="External"/><Relationship Id="rId_hyperlink_1154" Type="http://schemas.openxmlformats.org/officeDocument/2006/relationships/hyperlink" Target="https://www.diodes.com/part/view/DMN3350LDW" TargetMode="External"/><Relationship Id="rId_hyperlink_1155" Type="http://schemas.openxmlformats.org/officeDocument/2006/relationships/hyperlink" Target="https://www.diodes.com/datasheet/download/DMN3350LDWQ.pdf" TargetMode="External"/><Relationship Id="rId_hyperlink_1156" Type="http://schemas.openxmlformats.org/officeDocument/2006/relationships/hyperlink" Target="https://www.diodes.com/part/view/DMN3350LDWQ" TargetMode="External"/><Relationship Id="rId_hyperlink_1157" Type="http://schemas.openxmlformats.org/officeDocument/2006/relationships/hyperlink" Target="https://www.diodes.com/datasheet/download/DMN3350LFB.pdf" TargetMode="External"/><Relationship Id="rId_hyperlink_1158" Type="http://schemas.openxmlformats.org/officeDocument/2006/relationships/hyperlink" Target="https://www.diodes.com/part/view/DMN3350LFB" TargetMode="External"/><Relationship Id="rId_hyperlink_1159" Type="http://schemas.openxmlformats.org/officeDocument/2006/relationships/hyperlink" Target="https://www.diodes.com/datasheet/download/DMN33D8L.pdf" TargetMode="External"/><Relationship Id="rId_hyperlink_1160" Type="http://schemas.openxmlformats.org/officeDocument/2006/relationships/hyperlink" Target="https://www.diodes.com/part/view/DMN33D8L" TargetMode="External"/><Relationship Id="rId_hyperlink_1161" Type="http://schemas.openxmlformats.org/officeDocument/2006/relationships/hyperlink" Target="https://www.diodes.com/datasheet/download/DMN33D8LDW.pdf" TargetMode="External"/><Relationship Id="rId_hyperlink_1162" Type="http://schemas.openxmlformats.org/officeDocument/2006/relationships/hyperlink" Target="https://www.diodes.com/part/view/DMN33D8LDW" TargetMode="External"/><Relationship Id="rId_hyperlink_1163" Type="http://schemas.openxmlformats.org/officeDocument/2006/relationships/hyperlink" Target="https://www.diodes.com/datasheet/download/DMN33D8LDWQ.pdf" TargetMode="External"/><Relationship Id="rId_hyperlink_1164" Type="http://schemas.openxmlformats.org/officeDocument/2006/relationships/hyperlink" Target="https://www.diodes.com/part/view/DMN33D8LDWQ" TargetMode="External"/><Relationship Id="rId_hyperlink_1165" Type="http://schemas.openxmlformats.org/officeDocument/2006/relationships/hyperlink" Target="https://www.diodes.com/datasheet/download/DMN33D8LT.pdf" TargetMode="External"/><Relationship Id="rId_hyperlink_1166" Type="http://schemas.openxmlformats.org/officeDocument/2006/relationships/hyperlink" Target="https://www.diodes.com/part/view/DMN33D8LT" TargetMode="External"/><Relationship Id="rId_hyperlink_1167" Type="http://schemas.openxmlformats.org/officeDocument/2006/relationships/hyperlink" Target="https://www.diodes.com/datasheet/download/DMN33D8LTQ.pdf" TargetMode="External"/><Relationship Id="rId_hyperlink_1168" Type="http://schemas.openxmlformats.org/officeDocument/2006/relationships/hyperlink" Target="https://www.diodes.com/part/view/DMN33D8LTQ" TargetMode="External"/><Relationship Id="rId_hyperlink_1169" Type="http://schemas.openxmlformats.org/officeDocument/2006/relationships/hyperlink" Target="https://www.diodes.com/datasheet/download/DMN33D8LV.pdf" TargetMode="External"/><Relationship Id="rId_hyperlink_1170" Type="http://schemas.openxmlformats.org/officeDocument/2006/relationships/hyperlink" Target="https://www.diodes.com/part/view/DMN33D8LV" TargetMode="External"/><Relationship Id="rId_hyperlink_1171" Type="http://schemas.openxmlformats.org/officeDocument/2006/relationships/hyperlink" Target="https://www.diodes.com/datasheet/download/DMN33D8LVQ.pdf" TargetMode="External"/><Relationship Id="rId_hyperlink_1172" Type="http://schemas.openxmlformats.org/officeDocument/2006/relationships/hyperlink" Target="https://www.diodes.com/part/view/DMN33D8LVQ" TargetMode="External"/><Relationship Id="rId_hyperlink_1173" Type="http://schemas.openxmlformats.org/officeDocument/2006/relationships/hyperlink" Target="https://www.diodes.com/datasheet/download/DMN33D9LV.pdf" TargetMode="External"/><Relationship Id="rId_hyperlink_1174" Type="http://schemas.openxmlformats.org/officeDocument/2006/relationships/hyperlink" Target="https://www.diodes.com/part/view/DMN33D9LV" TargetMode="External"/><Relationship Id="rId_hyperlink_1175" Type="http://schemas.openxmlformats.org/officeDocument/2006/relationships/hyperlink" Target="https://www.diodes.com/datasheet/download/DMN3401LDW.pdf" TargetMode="External"/><Relationship Id="rId_hyperlink_1176" Type="http://schemas.openxmlformats.org/officeDocument/2006/relationships/hyperlink" Target="https://www.diodes.com/part/view/DMN3401LDW" TargetMode="External"/><Relationship Id="rId_hyperlink_1177" Type="http://schemas.openxmlformats.org/officeDocument/2006/relationships/hyperlink" Target="https://www.diodes.com/datasheet/download/DMN3401LDWQ.pdf" TargetMode="External"/><Relationship Id="rId_hyperlink_1178" Type="http://schemas.openxmlformats.org/officeDocument/2006/relationships/hyperlink" Target="https://www.diodes.com/part/view/DMN3401LDWQ" TargetMode="External"/><Relationship Id="rId_hyperlink_1179" Type="http://schemas.openxmlformats.org/officeDocument/2006/relationships/hyperlink" Target="https://www.diodes.com/datasheet/download/DMN3401LV.pdf" TargetMode="External"/><Relationship Id="rId_hyperlink_1180" Type="http://schemas.openxmlformats.org/officeDocument/2006/relationships/hyperlink" Target="https://www.diodes.com/part/view/DMN3401LV" TargetMode="External"/><Relationship Id="rId_hyperlink_1181" Type="http://schemas.openxmlformats.org/officeDocument/2006/relationships/hyperlink" Target="https://www.diodes.com/datasheet/download/DMN3401LVQ.pdf" TargetMode="External"/><Relationship Id="rId_hyperlink_1182" Type="http://schemas.openxmlformats.org/officeDocument/2006/relationships/hyperlink" Target="https://www.diodes.com/part/view/DMN3401LVQ" TargetMode="External"/><Relationship Id="rId_hyperlink_1183" Type="http://schemas.openxmlformats.org/officeDocument/2006/relationships/hyperlink" Target="https://www.diodes.com/datasheet/download/DMN3404L.pdf" TargetMode="External"/><Relationship Id="rId_hyperlink_1184" Type="http://schemas.openxmlformats.org/officeDocument/2006/relationships/hyperlink" Target="https://www.diodes.com/part/view/DMN3404L" TargetMode="External"/><Relationship Id="rId_hyperlink_1185" Type="http://schemas.openxmlformats.org/officeDocument/2006/relationships/hyperlink" Target="https://www.diodes.com/datasheet/download/DMN34D0U.pdf" TargetMode="External"/><Relationship Id="rId_hyperlink_1186" Type="http://schemas.openxmlformats.org/officeDocument/2006/relationships/hyperlink" Target="https://www.diodes.com/part/view/DMN34D0U" TargetMode="External"/><Relationship Id="rId_hyperlink_1187" Type="http://schemas.openxmlformats.org/officeDocument/2006/relationships/hyperlink" Target="https://www.diodes.com/datasheet/download/DMN3730UFB.pdf" TargetMode="External"/><Relationship Id="rId_hyperlink_1188" Type="http://schemas.openxmlformats.org/officeDocument/2006/relationships/hyperlink" Target="https://www.diodes.com/part/view/DMN3730UFB" TargetMode="External"/><Relationship Id="rId_hyperlink_1189" Type="http://schemas.openxmlformats.org/officeDocument/2006/relationships/hyperlink" Target="https://www.diodes.com/datasheet/download/DMN3730UFB4.pdf" TargetMode="External"/><Relationship Id="rId_hyperlink_1190" Type="http://schemas.openxmlformats.org/officeDocument/2006/relationships/hyperlink" Target="https://www.diodes.com/part/view/DMN3730UFB4" TargetMode="External"/><Relationship Id="rId_hyperlink_1191" Type="http://schemas.openxmlformats.org/officeDocument/2006/relationships/hyperlink" Target="https://www.diodes.com/datasheet/download/DMN3731U.pdf" TargetMode="External"/><Relationship Id="rId_hyperlink_1192" Type="http://schemas.openxmlformats.org/officeDocument/2006/relationships/hyperlink" Target="https://www.diodes.com/part/view/DMN3731U" TargetMode="External"/><Relationship Id="rId_hyperlink_1193" Type="http://schemas.openxmlformats.org/officeDocument/2006/relationships/hyperlink" Target="https://www.diodes.com/datasheet/download/DMN3731UFB4.pdf" TargetMode="External"/><Relationship Id="rId_hyperlink_1194" Type="http://schemas.openxmlformats.org/officeDocument/2006/relationships/hyperlink" Target="https://www.diodes.com/part/view/DMN3731UFB4" TargetMode="External"/><Relationship Id="rId_hyperlink_1195" Type="http://schemas.openxmlformats.org/officeDocument/2006/relationships/hyperlink" Target="https://www.diodes.com/datasheet/download/DMN3732U.pdf" TargetMode="External"/><Relationship Id="rId_hyperlink_1196" Type="http://schemas.openxmlformats.org/officeDocument/2006/relationships/hyperlink" Target="https://www.diodes.com/part/view/DMN3732U" TargetMode="External"/><Relationship Id="rId_hyperlink_1197" Type="http://schemas.openxmlformats.org/officeDocument/2006/relationships/hyperlink" Target="https://www.diodes.com/datasheet/download/DMN3732UFB4.pdf" TargetMode="External"/><Relationship Id="rId_hyperlink_1198" Type="http://schemas.openxmlformats.org/officeDocument/2006/relationships/hyperlink" Target="https://www.diodes.com/part/view/DMN3732UFB4" TargetMode="External"/><Relationship Id="rId_hyperlink_1199" Type="http://schemas.openxmlformats.org/officeDocument/2006/relationships/hyperlink" Target="https://www.diodes.com/datasheet/download/DMN3732UFB4Q.pdf" TargetMode="External"/><Relationship Id="rId_hyperlink_1200" Type="http://schemas.openxmlformats.org/officeDocument/2006/relationships/hyperlink" Target="https://www.diodes.com/part/view/DMN3732UFB4Q" TargetMode="External"/><Relationship Id="rId_hyperlink_1201" Type="http://schemas.openxmlformats.org/officeDocument/2006/relationships/hyperlink" Target="https://www.diodes.com/datasheet/download/DMN3732UQ.pdf" TargetMode="External"/><Relationship Id="rId_hyperlink_1202" Type="http://schemas.openxmlformats.org/officeDocument/2006/relationships/hyperlink" Target="https://www.diodes.com/part/view/DMN3732UQ" TargetMode="External"/><Relationship Id="rId_hyperlink_1203" Type="http://schemas.openxmlformats.org/officeDocument/2006/relationships/hyperlink" Target="https://www.diodes.com/datasheet/download/DMN3732UVT.pdf" TargetMode="External"/><Relationship Id="rId_hyperlink_1204" Type="http://schemas.openxmlformats.org/officeDocument/2006/relationships/hyperlink" Target="https://www.diodes.com/part/view/DMN3732UVT" TargetMode="External"/><Relationship Id="rId_hyperlink_1205" Type="http://schemas.openxmlformats.org/officeDocument/2006/relationships/hyperlink" Target="https://www.diodes.com/datasheet/download/DMN3732UVTQ.pdf" TargetMode="External"/><Relationship Id="rId_hyperlink_1206" Type="http://schemas.openxmlformats.org/officeDocument/2006/relationships/hyperlink" Target="https://www.diodes.com/part/view/DMN3732UVTQ" TargetMode="External"/><Relationship Id="rId_hyperlink_1207" Type="http://schemas.openxmlformats.org/officeDocument/2006/relationships/hyperlink" Target="https://www.diodes.com/datasheet/download/DMN38M1SCA10.pdf" TargetMode="External"/><Relationship Id="rId_hyperlink_1208" Type="http://schemas.openxmlformats.org/officeDocument/2006/relationships/hyperlink" Target="https://www.diodes.com/part/view/DMN38M1SCA10" TargetMode="External"/><Relationship Id="rId_hyperlink_1209" Type="http://schemas.openxmlformats.org/officeDocument/2006/relationships/hyperlink" Target="https://www.diodes.com/datasheet/download/DMN3900UFA.pdf" TargetMode="External"/><Relationship Id="rId_hyperlink_1210" Type="http://schemas.openxmlformats.org/officeDocument/2006/relationships/hyperlink" Target="https://www.diodes.com/part/view/DMN3900UFA" TargetMode="External"/><Relationship Id="rId_hyperlink_1211" Type="http://schemas.openxmlformats.org/officeDocument/2006/relationships/hyperlink" Target="https://www.diodes.com/datasheet/download/DMN39M1LFVW.pdf" TargetMode="External"/><Relationship Id="rId_hyperlink_1212" Type="http://schemas.openxmlformats.org/officeDocument/2006/relationships/hyperlink" Target="https://www.diodes.com/part/view/DMN39M1LFVW" TargetMode="External"/><Relationship Id="rId_hyperlink_1213" Type="http://schemas.openxmlformats.org/officeDocument/2006/relationships/hyperlink" Target="https://www.diodes.com/datasheet/download/DMN39M1LFVWQ.pdf" TargetMode="External"/><Relationship Id="rId_hyperlink_1214" Type="http://schemas.openxmlformats.org/officeDocument/2006/relationships/hyperlink" Target="https://www.diodes.com/part/view/DMN39M1LFVWQ" TargetMode="External"/><Relationship Id="rId_hyperlink_1215" Type="http://schemas.openxmlformats.org/officeDocument/2006/relationships/hyperlink" Target="https://www.diodes.com/datasheet/download/DMN39M1LK3.pdf" TargetMode="External"/><Relationship Id="rId_hyperlink_1216" Type="http://schemas.openxmlformats.org/officeDocument/2006/relationships/hyperlink" Target="https://www.diodes.com/part/view/DMN39M1LK3" TargetMode="External"/><Relationship Id="rId_hyperlink_1217" Type="http://schemas.openxmlformats.org/officeDocument/2006/relationships/hyperlink" Target="https://www.diodes.com/datasheet/download/DMN39M1LSS.pdf" TargetMode="External"/><Relationship Id="rId_hyperlink_1218" Type="http://schemas.openxmlformats.org/officeDocument/2006/relationships/hyperlink" Target="https://www.diodes.com/part/view/DMN39M1LSS" TargetMode="External"/><Relationship Id="rId_hyperlink_1219" Type="http://schemas.openxmlformats.org/officeDocument/2006/relationships/hyperlink" Target="https://www.diodes.com/datasheet/download/DMN39M1LSSQ.pdf" TargetMode="External"/><Relationship Id="rId_hyperlink_1220" Type="http://schemas.openxmlformats.org/officeDocument/2006/relationships/hyperlink" Target="https://www.diodes.com/part/view/DMN39M1LSSQ" TargetMode="External"/><Relationship Id="rId_hyperlink_1221" Type="http://schemas.openxmlformats.org/officeDocument/2006/relationships/hyperlink" Target="https://www.diodes.com/datasheet/download/DMN4008LFG.pdf" TargetMode="External"/><Relationship Id="rId_hyperlink_1222" Type="http://schemas.openxmlformats.org/officeDocument/2006/relationships/hyperlink" Target="https://www.diodes.com/part/view/DMN4008LFG" TargetMode="External"/><Relationship Id="rId_hyperlink_1223" Type="http://schemas.openxmlformats.org/officeDocument/2006/relationships/hyperlink" Target="https://www.diodes.com/datasheet/download/DMN4010LFG.pdf" TargetMode="External"/><Relationship Id="rId_hyperlink_1224" Type="http://schemas.openxmlformats.org/officeDocument/2006/relationships/hyperlink" Target="https://www.diodes.com/part/view/DMN4010LFG" TargetMode="External"/><Relationship Id="rId_hyperlink_1225" Type="http://schemas.openxmlformats.org/officeDocument/2006/relationships/hyperlink" Target="https://www.diodes.com/datasheet/download/DMN4010LK3.pdf" TargetMode="External"/><Relationship Id="rId_hyperlink_1226" Type="http://schemas.openxmlformats.org/officeDocument/2006/relationships/hyperlink" Target="https://www.diodes.com/part/view/DMN4010LK3" TargetMode="External"/><Relationship Id="rId_hyperlink_1227" Type="http://schemas.openxmlformats.org/officeDocument/2006/relationships/hyperlink" Target="https://www.diodes.com/datasheet/download/DMN4020LFDE.pdf" TargetMode="External"/><Relationship Id="rId_hyperlink_1228" Type="http://schemas.openxmlformats.org/officeDocument/2006/relationships/hyperlink" Target="https://www.diodes.com/part/view/DMN4020LFDE" TargetMode="External"/><Relationship Id="rId_hyperlink_1229" Type="http://schemas.openxmlformats.org/officeDocument/2006/relationships/hyperlink" Target="https://www.diodes.com/datasheet/download/DMN4020LFDEQ.pdf" TargetMode="External"/><Relationship Id="rId_hyperlink_1230" Type="http://schemas.openxmlformats.org/officeDocument/2006/relationships/hyperlink" Target="https://www.diodes.com/part/view/DMN4020LFDEQ" TargetMode="External"/><Relationship Id="rId_hyperlink_1231" Type="http://schemas.openxmlformats.org/officeDocument/2006/relationships/hyperlink" Target="https://www.diodes.com/datasheet/download/DMN4026SK3.pdf" TargetMode="External"/><Relationship Id="rId_hyperlink_1232" Type="http://schemas.openxmlformats.org/officeDocument/2006/relationships/hyperlink" Target="https://www.diodes.com/part/view/DMN4026SK3" TargetMode="External"/><Relationship Id="rId_hyperlink_1233" Type="http://schemas.openxmlformats.org/officeDocument/2006/relationships/hyperlink" Target="https://www.diodes.com/datasheet/download/DMN4026SSD.pdf" TargetMode="External"/><Relationship Id="rId_hyperlink_1234" Type="http://schemas.openxmlformats.org/officeDocument/2006/relationships/hyperlink" Target="https://www.diodes.com/part/view/DMN4026SSD" TargetMode="External"/><Relationship Id="rId_hyperlink_1235" Type="http://schemas.openxmlformats.org/officeDocument/2006/relationships/hyperlink" Target="https://www.diodes.com/datasheet/download/DMN4026SSDQ.pdf" TargetMode="External"/><Relationship Id="rId_hyperlink_1236" Type="http://schemas.openxmlformats.org/officeDocument/2006/relationships/hyperlink" Target="https://www.diodes.com/part/view/DMN4026SSDQ" TargetMode="External"/><Relationship Id="rId_hyperlink_1237" Type="http://schemas.openxmlformats.org/officeDocument/2006/relationships/hyperlink" Target="https://www.diodes.com/datasheet/download/DMN4027SSD.pdf" TargetMode="External"/><Relationship Id="rId_hyperlink_1238" Type="http://schemas.openxmlformats.org/officeDocument/2006/relationships/hyperlink" Target="https://www.diodes.com/part/view/DMN4027SSD" TargetMode="External"/><Relationship Id="rId_hyperlink_1239" Type="http://schemas.openxmlformats.org/officeDocument/2006/relationships/hyperlink" Target="https://www.diodes.com/datasheet/download/DMN4030LK3.pdf" TargetMode="External"/><Relationship Id="rId_hyperlink_1240" Type="http://schemas.openxmlformats.org/officeDocument/2006/relationships/hyperlink" Target="https://www.diodes.com/part/view/DMN4030LK3" TargetMode="External"/><Relationship Id="rId_hyperlink_1241" Type="http://schemas.openxmlformats.org/officeDocument/2006/relationships/hyperlink" Target="https://www.diodes.com/datasheet/download/DMN4030LK3Q.pdf" TargetMode="External"/><Relationship Id="rId_hyperlink_1242" Type="http://schemas.openxmlformats.org/officeDocument/2006/relationships/hyperlink" Target="https://www.diodes.com/part/view/DMN4030LK3Q" TargetMode="External"/><Relationship Id="rId_hyperlink_1243" Type="http://schemas.openxmlformats.org/officeDocument/2006/relationships/hyperlink" Target="https://www.diodes.com/datasheet/download/DMN4031SSDQ.pdf" TargetMode="External"/><Relationship Id="rId_hyperlink_1244" Type="http://schemas.openxmlformats.org/officeDocument/2006/relationships/hyperlink" Target="https://www.diodes.com/part/view/DMN4031SSDQ" TargetMode="External"/><Relationship Id="rId_hyperlink_1245" Type="http://schemas.openxmlformats.org/officeDocument/2006/relationships/hyperlink" Target="https://www.diodes.com/datasheet/download/DMN4034SSD.pdf" TargetMode="External"/><Relationship Id="rId_hyperlink_1246" Type="http://schemas.openxmlformats.org/officeDocument/2006/relationships/hyperlink" Target="https://www.diodes.com/part/view/DMN4034SSD" TargetMode="External"/><Relationship Id="rId_hyperlink_1247" Type="http://schemas.openxmlformats.org/officeDocument/2006/relationships/hyperlink" Target="https://www.diodes.com/datasheet/download/DMN4034SSS.pdf" TargetMode="External"/><Relationship Id="rId_hyperlink_1248" Type="http://schemas.openxmlformats.org/officeDocument/2006/relationships/hyperlink" Target="https://www.diodes.com/part/view/DMN4034SSS" TargetMode="External"/><Relationship Id="rId_hyperlink_1249" Type="http://schemas.openxmlformats.org/officeDocument/2006/relationships/hyperlink" Target="https://www.diodes.com/datasheet/download/DMN4034SSSQ.pdf" TargetMode="External"/><Relationship Id="rId_hyperlink_1250" Type="http://schemas.openxmlformats.org/officeDocument/2006/relationships/hyperlink" Target="https://www.diodes.com/part/view/DMN4034SSSQ" TargetMode="External"/><Relationship Id="rId_hyperlink_1251" Type="http://schemas.openxmlformats.org/officeDocument/2006/relationships/hyperlink" Target="https://www.diodes.com/datasheet/download/DMN4035L.pdf" TargetMode="External"/><Relationship Id="rId_hyperlink_1252" Type="http://schemas.openxmlformats.org/officeDocument/2006/relationships/hyperlink" Target="https://www.diodes.com/part/view/DMN4035L" TargetMode="External"/><Relationship Id="rId_hyperlink_1253" Type="http://schemas.openxmlformats.org/officeDocument/2006/relationships/hyperlink" Target="https://www.diodes.com/datasheet/download/DMN4035LQ.pdf" TargetMode="External"/><Relationship Id="rId_hyperlink_1254" Type="http://schemas.openxmlformats.org/officeDocument/2006/relationships/hyperlink" Target="https://www.diodes.com/part/view/DMN4035LQ" TargetMode="External"/><Relationship Id="rId_hyperlink_1255" Type="http://schemas.openxmlformats.org/officeDocument/2006/relationships/hyperlink" Target="https://www.diodes.com/datasheet/download/DMN4036LK3.pdf" TargetMode="External"/><Relationship Id="rId_hyperlink_1256" Type="http://schemas.openxmlformats.org/officeDocument/2006/relationships/hyperlink" Target="https://www.diodes.com/part/view/DMN4036LK3" TargetMode="External"/><Relationship Id="rId_hyperlink_1257" Type="http://schemas.openxmlformats.org/officeDocument/2006/relationships/hyperlink" Target="https://www.diodes.com/datasheet/download/DMN4060SVT.pdf" TargetMode="External"/><Relationship Id="rId_hyperlink_1258" Type="http://schemas.openxmlformats.org/officeDocument/2006/relationships/hyperlink" Target="https://www.diodes.com/part/view/DMN4060SVT" TargetMode="External"/><Relationship Id="rId_hyperlink_1259" Type="http://schemas.openxmlformats.org/officeDocument/2006/relationships/hyperlink" Target="https://www.diodes.com/datasheet/download/DMN4060SVTQ.pdf" TargetMode="External"/><Relationship Id="rId_hyperlink_1260" Type="http://schemas.openxmlformats.org/officeDocument/2006/relationships/hyperlink" Target="https://www.diodes.com/part/view/DMN4060SVTQ" TargetMode="External"/><Relationship Id="rId_hyperlink_1261" Type="http://schemas.openxmlformats.org/officeDocument/2006/relationships/hyperlink" Target="https://www.diodes.com/datasheet/download/DMN4468LSS.pdf" TargetMode="External"/><Relationship Id="rId_hyperlink_1262" Type="http://schemas.openxmlformats.org/officeDocument/2006/relationships/hyperlink" Target="https://www.diodes.com/part/view/DMN4468LSS" TargetMode="External"/><Relationship Id="rId_hyperlink_1263" Type="http://schemas.openxmlformats.org/officeDocument/2006/relationships/hyperlink" Target="https://www.diodes.com/datasheet/download/DMN4800LSS.pdf" TargetMode="External"/><Relationship Id="rId_hyperlink_1264" Type="http://schemas.openxmlformats.org/officeDocument/2006/relationships/hyperlink" Target="https://www.diodes.com/part/view/DMN4800LSS" TargetMode="External"/><Relationship Id="rId_hyperlink_1265" Type="http://schemas.openxmlformats.org/officeDocument/2006/relationships/hyperlink" Target="https://www.diodes.com/datasheet/download/DMN4800LSSL.pdf" TargetMode="External"/><Relationship Id="rId_hyperlink_1266" Type="http://schemas.openxmlformats.org/officeDocument/2006/relationships/hyperlink" Target="https://www.diodes.com/part/view/DMN4800LSSL" TargetMode="External"/><Relationship Id="rId_hyperlink_1267" Type="http://schemas.openxmlformats.org/officeDocument/2006/relationships/hyperlink" Target="https://www.diodes.com/datasheet/download/DMN4800LSSQ.pdf" TargetMode="External"/><Relationship Id="rId_hyperlink_1268" Type="http://schemas.openxmlformats.org/officeDocument/2006/relationships/hyperlink" Target="https://www.diodes.com/part/view/DMN4800LSSQ" TargetMode="External"/><Relationship Id="rId_hyperlink_1269" Type="http://schemas.openxmlformats.org/officeDocument/2006/relationships/hyperlink" Target="https://www.diodes.com/datasheet/download/DMN5040LSS.pdf" TargetMode="External"/><Relationship Id="rId_hyperlink_1270" Type="http://schemas.openxmlformats.org/officeDocument/2006/relationships/hyperlink" Target="https://www.diodes.com/part/view/DMN5040LSS" TargetMode="External"/><Relationship Id="rId_hyperlink_1271" Type="http://schemas.openxmlformats.org/officeDocument/2006/relationships/hyperlink" Target="https://www.diodes.com/datasheet/download/DMN52D0LT.pdf" TargetMode="External"/><Relationship Id="rId_hyperlink_1272" Type="http://schemas.openxmlformats.org/officeDocument/2006/relationships/hyperlink" Target="https://www.diodes.com/part/view/DMN52D0LT" TargetMode="External"/><Relationship Id="rId_hyperlink_1273" Type="http://schemas.openxmlformats.org/officeDocument/2006/relationships/hyperlink" Target="https://www.diodes.com/datasheet/download/DMN52D0U.pdf" TargetMode="External"/><Relationship Id="rId_hyperlink_1274" Type="http://schemas.openxmlformats.org/officeDocument/2006/relationships/hyperlink" Target="https://www.diodes.com/part/view/DMN52D0U" TargetMode="External"/><Relationship Id="rId_hyperlink_1275" Type="http://schemas.openxmlformats.org/officeDocument/2006/relationships/hyperlink" Target="https://www.diodes.com/datasheet/download/DMN52D0UDM.pdf" TargetMode="External"/><Relationship Id="rId_hyperlink_1276" Type="http://schemas.openxmlformats.org/officeDocument/2006/relationships/hyperlink" Target="https://www.diodes.com/part/view/DMN52D0UDM" TargetMode="External"/><Relationship Id="rId_hyperlink_1277" Type="http://schemas.openxmlformats.org/officeDocument/2006/relationships/hyperlink" Target="https://www.diodes.com/datasheet/download/DMN52D0UDMQ.pdf" TargetMode="External"/><Relationship Id="rId_hyperlink_1278" Type="http://schemas.openxmlformats.org/officeDocument/2006/relationships/hyperlink" Target="https://www.diodes.com/part/view/DMN52D0UDMQ" TargetMode="External"/><Relationship Id="rId_hyperlink_1279" Type="http://schemas.openxmlformats.org/officeDocument/2006/relationships/hyperlink" Target="https://www.diodes.com/datasheet/download/DMN52D0UDW.pdf" TargetMode="External"/><Relationship Id="rId_hyperlink_1280" Type="http://schemas.openxmlformats.org/officeDocument/2006/relationships/hyperlink" Target="https://www.diodes.com/part/view/DMN52D0UDW" TargetMode="External"/><Relationship Id="rId_hyperlink_1281" Type="http://schemas.openxmlformats.org/officeDocument/2006/relationships/hyperlink" Target="https://www.diodes.com/datasheet/download/DMN52D0UDWQ.pdf" TargetMode="External"/><Relationship Id="rId_hyperlink_1282" Type="http://schemas.openxmlformats.org/officeDocument/2006/relationships/hyperlink" Target="https://www.diodes.com/part/view/DMN52D0UDWQ" TargetMode="External"/><Relationship Id="rId_hyperlink_1283" Type="http://schemas.openxmlformats.org/officeDocument/2006/relationships/hyperlink" Target="https://www.diodes.com/datasheet/download/DMN52D0UQ.pdf" TargetMode="External"/><Relationship Id="rId_hyperlink_1284" Type="http://schemas.openxmlformats.org/officeDocument/2006/relationships/hyperlink" Target="https://www.diodes.com/part/view/DMN52D0UQ" TargetMode="External"/><Relationship Id="rId_hyperlink_1285" Type="http://schemas.openxmlformats.org/officeDocument/2006/relationships/hyperlink" Target="https://www.diodes.com/datasheet/download/DMN52D0UV.pdf" TargetMode="External"/><Relationship Id="rId_hyperlink_1286" Type="http://schemas.openxmlformats.org/officeDocument/2006/relationships/hyperlink" Target="https://www.diodes.com/part/view/DMN52D0UV" TargetMode="External"/><Relationship Id="rId_hyperlink_1287" Type="http://schemas.openxmlformats.org/officeDocument/2006/relationships/hyperlink" Target="https://www.diodes.com/datasheet/download/DMN52D0UVA.pdf" TargetMode="External"/><Relationship Id="rId_hyperlink_1288" Type="http://schemas.openxmlformats.org/officeDocument/2006/relationships/hyperlink" Target="https://www.diodes.com/part/view/DMN52D0UVA" TargetMode="External"/><Relationship Id="rId_hyperlink_1289" Type="http://schemas.openxmlformats.org/officeDocument/2006/relationships/hyperlink" Target="https://www.diodes.com/datasheet/download/DMN52D0UVQ.pdf" TargetMode="External"/><Relationship Id="rId_hyperlink_1290" Type="http://schemas.openxmlformats.org/officeDocument/2006/relationships/hyperlink" Target="https://www.diodes.com/part/view/DMN52D0UVQ" TargetMode="External"/><Relationship Id="rId_hyperlink_1291" Type="http://schemas.openxmlformats.org/officeDocument/2006/relationships/hyperlink" Target="https://www.diodes.com/datasheet/download/DMN52D0UVT.pdf" TargetMode="External"/><Relationship Id="rId_hyperlink_1292" Type="http://schemas.openxmlformats.org/officeDocument/2006/relationships/hyperlink" Target="https://www.diodes.com/part/view/DMN52D0UVT" TargetMode="External"/><Relationship Id="rId_hyperlink_1293" Type="http://schemas.openxmlformats.org/officeDocument/2006/relationships/hyperlink" Target="https://www.diodes.com/datasheet/download/DMN52D0UVTQ.pdf" TargetMode="External"/><Relationship Id="rId_hyperlink_1294" Type="http://schemas.openxmlformats.org/officeDocument/2006/relationships/hyperlink" Target="https://www.diodes.com/part/view/DMN52D0UVTQ" TargetMode="External"/><Relationship Id="rId_hyperlink_1295" Type="http://schemas.openxmlformats.org/officeDocument/2006/relationships/hyperlink" Target="https://www.diodes.com/datasheet/download/DMN52D0UW.pdf" TargetMode="External"/><Relationship Id="rId_hyperlink_1296" Type="http://schemas.openxmlformats.org/officeDocument/2006/relationships/hyperlink" Target="https://www.diodes.com/part/view/DMN52D0UW" TargetMode="External"/><Relationship Id="rId_hyperlink_1297" Type="http://schemas.openxmlformats.org/officeDocument/2006/relationships/hyperlink" Target="https://www.diodes.com/datasheet/download/DMN52D0UWQ.pdf" TargetMode="External"/><Relationship Id="rId_hyperlink_1298" Type="http://schemas.openxmlformats.org/officeDocument/2006/relationships/hyperlink" Target="https://www.diodes.com/part/view/DMN52D0UWQ" TargetMode="External"/><Relationship Id="rId_hyperlink_1299" Type="http://schemas.openxmlformats.org/officeDocument/2006/relationships/hyperlink" Target="https://www.diodes.com/datasheet/download/DMN53D0L.pdf" TargetMode="External"/><Relationship Id="rId_hyperlink_1300" Type="http://schemas.openxmlformats.org/officeDocument/2006/relationships/hyperlink" Target="https://www.diodes.com/part/view/DMN53D0L" TargetMode="External"/><Relationship Id="rId_hyperlink_1301" Type="http://schemas.openxmlformats.org/officeDocument/2006/relationships/hyperlink" Target="https://www.diodes.com/datasheet/download/DMN53D0LDW.pdf" TargetMode="External"/><Relationship Id="rId_hyperlink_1302" Type="http://schemas.openxmlformats.org/officeDocument/2006/relationships/hyperlink" Target="https://www.diodes.com/part/view/DMN53D0LDW" TargetMode="External"/><Relationship Id="rId_hyperlink_1303" Type="http://schemas.openxmlformats.org/officeDocument/2006/relationships/hyperlink" Target="https://www.diodes.com/datasheet/download/DMN53D0LDWQ.pdf" TargetMode="External"/><Relationship Id="rId_hyperlink_1304" Type="http://schemas.openxmlformats.org/officeDocument/2006/relationships/hyperlink" Target="https://www.diodes.com/part/view/DMN53D0LDWQ" TargetMode="External"/><Relationship Id="rId_hyperlink_1305" Type="http://schemas.openxmlformats.org/officeDocument/2006/relationships/hyperlink" Target="https://www.diodes.com/datasheet/download/DMN53D0LQ.pdf" TargetMode="External"/><Relationship Id="rId_hyperlink_1306" Type="http://schemas.openxmlformats.org/officeDocument/2006/relationships/hyperlink" Target="https://www.diodes.com/part/view/DMN53D0LQ" TargetMode="External"/><Relationship Id="rId_hyperlink_1307" Type="http://schemas.openxmlformats.org/officeDocument/2006/relationships/hyperlink" Target="https://www.diodes.com/datasheet/download/DMN53D0LT.pdf" TargetMode="External"/><Relationship Id="rId_hyperlink_1308" Type="http://schemas.openxmlformats.org/officeDocument/2006/relationships/hyperlink" Target="https://www.diodes.com/part/view/DMN53D0LT" TargetMode="External"/><Relationship Id="rId_hyperlink_1309" Type="http://schemas.openxmlformats.org/officeDocument/2006/relationships/hyperlink" Target="https://www.diodes.com/datasheet/download/DMN53D0LTQ.pdf" TargetMode="External"/><Relationship Id="rId_hyperlink_1310" Type="http://schemas.openxmlformats.org/officeDocument/2006/relationships/hyperlink" Target="https://www.diodes.com/part/view/DMN53D0LTQ" TargetMode="External"/><Relationship Id="rId_hyperlink_1311" Type="http://schemas.openxmlformats.org/officeDocument/2006/relationships/hyperlink" Target="https://www.diodes.com/datasheet/download/DMN53D0LV.pdf" TargetMode="External"/><Relationship Id="rId_hyperlink_1312" Type="http://schemas.openxmlformats.org/officeDocument/2006/relationships/hyperlink" Target="https://www.diodes.com/part/view/DMN53D0LV" TargetMode="External"/><Relationship Id="rId_hyperlink_1313" Type="http://schemas.openxmlformats.org/officeDocument/2006/relationships/hyperlink" Target="https://www.diodes.com/datasheet/download/DMN53D0LW.pdf" TargetMode="External"/><Relationship Id="rId_hyperlink_1314" Type="http://schemas.openxmlformats.org/officeDocument/2006/relationships/hyperlink" Target="https://www.diodes.com/part/view/DMN53D0LW" TargetMode="External"/><Relationship Id="rId_hyperlink_1315" Type="http://schemas.openxmlformats.org/officeDocument/2006/relationships/hyperlink" Target="https://www.diodes.com/datasheet/download/DMN53D0U.pdf" TargetMode="External"/><Relationship Id="rId_hyperlink_1316" Type="http://schemas.openxmlformats.org/officeDocument/2006/relationships/hyperlink" Target="https://www.diodes.com/part/view/DMN53D0U" TargetMode="External"/><Relationship Id="rId_hyperlink_1317" Type="http://schemas.openxmlformats.org/officeDocument/2006/relationships/hyperlink" Target="https://www.diodes.com/datasheet/download/DMN6010SCTB.pdf" TargetMode="External"/><Relationship Id="rId_hyperlink_1318" Type="http://schemas.openxmlformats.org/officeDocument/2006/relationships/hyperlink" Target="https://www.diodes.com/part/view/DMN6010SCTB" TargetMode="External"/><Relationship Id="rId_hyperlink_1319" Type="http://schemas.openxmlformats.org/officeDocument/2006/relationships/hyperlink" Target="https://www.diodes.com/datasheet/download/DMN6010SCTBQ.pdf" TargetMode="External"/><Relationship Id="rId_hyperlink_1320" Type="http://schemas.openxmlformats.org/officeDocument/2006/relationships/hyperlink" Target="https://www.diodes.com/part/view/DMN6010SCTBQ" TargetMode="External"/><Relationship Id="rId_hyperlink_1321" Type="http://schemas.openxmlformats.org/officeDocument/2006/relationships/hyperlink" Target="https://www.diodes.com/datasheet/download/DMN6013LFG.pdf" TargetMode="External"/><Relationship Id="rId_hyperlink_1322" Type="http://schemas.openxmlformats.org/officeDocument/2006/relationships/hyperlink" Target="https://www.diodes.com/part/view/DMN6013LFG" TargetMode="External"/><Relationship Id="rId_hyperlink_1323" Type="http://schemas.openxmlformats.org/officeDocument/2006/relationships/hyperlink" Target="https://www.diodes.com/datasheet/download/DMN6013LFGQ.pdf" TargetMode="External"/><Relationship Id="rId_hyperlink_1324" Type="http://schemas.openxmlformats.org/officeDocument/2006/relationships/hyperlink" Target="https://www.diodes.com/part/view/DMN6013LFGQ" TargetMode="External"/><Relationship Id="rId_hyperlink_1325" Type="http://schemas.openxmlformats.org/officeDocument/2006/relationships/hyperlink" Target="https://www.diodes.com/datasheet/download/DMN6017SFV.pdf" TargetMode="External"/><Relationship Id="rId_hyperlink_1326" Type="http://schemas.openxmlformats.org/officeDocument/2006/relationships/hyperlink" Target="https://www.diodes.com/part/view/DMN6017SFV" TargetMode="External"/><Relationship Id="rId_hyperlink_1327" Type="http://schemas.openxmlformats.org/officeDocument/2006/relationships/hyperlink" Target="https://www.diodes.com/datasheet/download/DMN6017SK3.pdf" TargetMode="External"/><Relationship Id="rId_hyperlink_1328" Type="http://schemas.openxmlformats.org/officeDocument/2006/relationships/hyperlink" Target="https://www.diodes.com/part/view/DMN6017SK3" TargetMode="External"/><Relationship Id="rId_hyperlink_1329" Type="http://schemas.openxmlformats.org/officeDocument/2006/relationships/hyperlink" Target="https://www.diodes.com/datasheet/download/DMN601DMK.pdf" TargetMode="External"/><Relationship Id="rId_hyperlink_1330" Type="http://schemas.openxmlformats.org/officeDocument/2006/relationships/hyperlink" Target="https://www.diodes.com/part/view/DMN601DMK" TargetMode="External"/><Relationship Id="rId_hyperlink_1331" Type="http://schemas.openxmlformats.org/officeDocument/2006/relationships/hyperlink" Target="https://www.diodes.com/datasheet/download/DMN601DWK.pdf" TargetMode="External"/><Relationship Id="rId_hyperlink_1332" Type="http://schemas.openxmlformats.org/officeDocument/2006/relationships/hyperlink" Target="https://www.diodes.com/part/view/DMN601DWK" TargetMode="External"/><Relationship Id="rId_hyperlink_1333" Type="http://schemas.openxmlformats.org/officeDocument/2006/relationships/hyperlink" Target="https://www.diodes.com/datasheet/download/DMN601DWKQ.pdf" TargetMode="External"/><Relationship Id="rId_hyperlink_1334" Type="http://schemas.openxmlformats.org/officeDocument/2006/relationships/hyperlink" Target="https://www.diodes.com/part/view/DMN601DWKQ" TargetMode="External"/><Relationship Id="rId_hyperlink_1335" Type="http://schemas.openxmlformats.org/officeDocument/2006/relationships/hyperlink" Target="https://www.diodes.com/datasheet/download/DMN601K.pdf" TargetMode="External"/><Relationship Id="rId_hyperlink_1336" Type="http://schemas.openxmlformats.org/officeDocument/2006/relationships/hyperlink" Target="https://www.diodes.com/part/view/DMN601K" TargetMode="External"/><Relationship Id="rId_hyperlink_1337" Type="http://schemas.openxmlformats.org/officeDocument/2006/relationships/hyperlink" Target="https://www.diodes.com/datasheet/download/DMN601LT.pdf" TargetMode="External"/><Relationship Id="rId_hyperlink_1338" Type="http://schemas.openxmlformats.org/officeDocument/2006/relationships/hyperlink" Target="https://www.diodes.com/part/view/DMN601LT" TargetMode="External"/><Relationship Id="rId_hyperlink_1339" Type="http://schemas.openxmlformats.org/officeDocument/2006/relationships/hyperlink" Target="https://www.diodes.com/datasheet/download/DMN601LTQ.pdf" TargetMode="External"/><Relationship Id="rId_hyperlink_1340" Type="http://schemas.openxmlformats.org/officeDocument/2006/relationships/hyperlink" Target="https://www.diodes.com/part/view/DMN601LTQ" TargetMode="External"/><Relationship Id="rId_hyperlink_1341" Type="http://schemas.openxmlformats.org/officeDocument/2006/relationships/hyperlink" Target="https://www.diodes.com/datasheet/download/DMN601TK.pdf" TargetMode="External"/><Relationship Id="rId_hyperlink_1342" Type="http://schemas.openxmlformats.org/officeDocument/2006/relationships/hyperlink" Target="https://www.diodes.com/part/view/DMN601TK" TargetMode="External"/><Relationship Id="rId_hyperlink_1343" Type="http://schemas.openxmlformats.org/officeDocument/2006/relationships/hyperlink" Target="https://www.diodes.com/datasheet/download/DMN601TKQ.pdf" TargetMode="External"/><Relationship Id="rId_hyperlink_1344" Type="http://schemas.openxmlformats.org/officeDocument/2006/relationships/hyperlink" Target="https://www.diodes.com/part/view/DMN601TKQ" TargetMode="External"/><Relationship Id="rId_hyperlink_1345" Type="http://schemas.openxmlformats.org/officeDocument/2006/relationships/hyperlink" Target="https://www.diodes.com/datasheet/download/DMN601VKQ.pdf" TargetMode="External"/><Relationship Id="rId_hyperlink_1346" Type="http://schemas.openxmlformats.org/officeDocument/2006/relationships/hyperlink" Target="https://www.diodes.com/part/view/DMN601VKQ" TargetMode="External"/><Relationship Id="rId_hyperlink_1347" Type="http://schemas.openxmlformats.org/officeDocument/2006/relationships/hyperlink" Target="https://www.diodes.com/datasheet/download/DMN601WK.pdf" TargetMode="External"/><Relationship Id="rId_hyperlink_1348" Type="http://schemas.openxmlformats.org/officeDocument/2006/relationships/hyperlink" Target="https://www.diodes.com/part/view/DMN601WK" TargetMode="External"/><Relationship Id="rId_hyperlink_1349" Type="http://schemas.openxmlformats.org/officeDocument/2006/relationships/hyperlink" Target="https://www.diodes.com/datasheet/download/DMN601WKQ.pdf" TargetMode="External"/><Relationship Id="rId_hyperlink_1350" Type="http://schemas.openxmlformats.org/officeDocument/2006/relationships/hyperlink" Target="https://www.diodes.com/part/view/DMN601WKQ" TargetMode="External"/><Relationship Id="rId_hyperlink_1351" Type="http://schemas.openxmlformats.org/officeDocument/2006/relationships/hyperlink" Target="https://www.diodes.com/datasheet/download/DMN6022SSD.pdf" TargetMode="External"/><Relationship Id="rId_hyperlink_1352" Type="http://schemas.openxmlformats.org/officeDocument/2006/relationships/hyperlink" Target="https://www.diodes.com/part/view/DMN6022SSD" TargetMode="External"/><Relationship Id="rId_hyperlink_1353" Type="http://schemas.openxmlformats.org/officeDocument/2006/relationships/hyperlink" Target="https://www.diodes.com/datasheet/download/DMN6022SSS.pdf" TargetMode="External"/><Relationship Id="rId_hyperlink_1354" Type="http://schemas.openxmlformats.org/officeDocument/2006/relationships/hyperlink" Target="https://www.diodes.com/part/view/DMN6022SSS" TargetMode="External"/><Relationship Id="rId_hyperlink_1355" Type="http://schemas.openxmlformats.org/officeDocument/2006/relationships/hyperlink" Target="https://www.diodes.com/datasheet/download/DMN6040SE.pdf" TargetMode="External"/><Relationship Id="rId_hyperlink_1356" Type="http://schemas.openxmlformats.org/officeDocument/2006/relationships/hyperlink" Target="https://www.diodes.com/part/view/DMN6040SE" TargetMode="External"/><Relationship Id="rId_hyperlink_1357" Type="http://schemas.openxmlformats.org/officeDocument/2006/relationships/hyperlink" Target="https://www.diodes.com/datasheet/download/DMN6040SFDE.pdf" TargetMode="External"/><Relationship Id="rId_hyperlink_1358" Type="http://schemas.openxmlformats.org/officeDocument/2006/relationships/hyperlink" Target="https://www.diodes.com/part/view/DMN6040SFDE" TargetMode="External"/><Relationship Id="rId_hyperlink_1359" Type="http://schemas.openxmlformats.org/officeDocument/2006/relationships/hyperlink" Target="https://www.diodes.com/datasheet/download/DMN6040SFDEQ.pdf" TargetMode="External"/><Relationship Id="rId_hyperlink_1360" Type="http://schemas.openxmlformats.org/officeDocument/2006/relationships/hyperlink" Target="https://www.diodes.com/part/view/DMN6040SFDEQ" TargetMode="External"/><Relationship Id="rId_hyperlink_1361" Type="http://schemas.openxmlformats.org/officeDocument/2006/relationships/hyperlink" Target="https://www.diodes.com/datasheet/download/DMN6040SK3.pdf" TargetMode="External"/><Relationship Id="rId_hyperlink_1362" Type="http://schemas.openxmlformats.org/officeDocument/2006/relationships/hyperlink" Target="https://www.diodes.com/part/view/DMN6040SK3" TargetMode="External"/><Relationship Id="rId_hyperlink_1363" Type="http://schemas.openxmlformats.org/officeDocument/2006/relationships/hyperlink" Target="https://www.diodes.com/datasheet/download/DMN6040SK3Q.pdf" TargetMode="External"/><Relationship Id="rId_hyperlink_1364" Type="http://schemas.openxmlformats.org/officeDocument/2006/relationships/hyperlink" Target="https://www.diodes.com/part/view/DMN6040SK3Q" TargetMode="External"/><Relationship Id="rId_hyperlink_1365" Type="http://schemas.openxmlformats.org/officeDocument/2006/relationships/hyperlink" Target="https://www.diodes.com/datasheet/download/DMN6040SSD.pdf" TargetMode="External"/><Relationship Id="rId_hyperlink_1366" Type="http://schemas.openxmlformats.org/officeDocument/2006/relationships/hyperlink" Target="https://www.diodes.com/part/view/DMN6040SSD" TargetMode="External"/><Relationship Id="rId_hyperlink_1367" Type="http://schemas.openxmlformats.org/officeDocument/2006/relationships/hyperlink" Target="https://www.diodes.com/datasheet/download/DMN6040SSDQ.pdf" TargetMode="External"/><Relationship Id="rId_hyperlink_1368" Type="http://schemas.openxmlformats.org/officeDocument/2006/relationships/hyperlink" Target="https://www.diodes.com/part/view/DMN6040SSDQ" TargetMode="External"/><Relationship Id="rId_hyperlink_1369" Type="http://schemas.openxmlformats.org/officeDocument/2006/relationships/hyperlink" Target="https://www.diodes.com/datasheet/download/DMN6040SSS.pdf" TargetMode="External"/><Relationship Id="rId_hyperlink_1370" Type="http://schemas.openxmlformats.org/officeDocument/2006/relationships/hyperlink" Target="https://www.diodes.com/part/view/DMN6040SSS" TargetMode="External"/><Relationship Id="rId_hyperlink_1371" Type="http://schemas.openxmlformats.org/officeDocument/2006/relationships/hyperlink" Target="https://www.diodes.com/datasheet/download/DMN6040SSSQ.pdf" TargetMode="External"/><Relationship Id="rId_hyperlink_1372" Type="http://schemas.openxmlformats.org/officeDocument/2006/relationships/hyperlink" Target="https://www.diodes.com/part/view/DMN6040SSSQ" TargetMode="External"/><Relationship Id="rId_hyperlink_1373" Type="http://schemas.openxmlformats.org/officeDocument/2006/relationships/hyperlink" Target="https://www.diodes.com/datasheet/download/DMN6040SVT.pdf" TargetMode="External"/><Relationship Id="rId_hyperlink_1374" Type="http://schemas.openxmlformats.org/officeDocument/2006/relationships/hyperlink" Target="https://www.diodes.com/part/view/DMN6040SVT" TargetMode="External"/><Relationship Id="rId_hyperlink_1375" Type="http://schemas.openxmlformats.org/officeDocument/2006/relationships/hyperlink" Target="https://www.diodes.com/datasheet/download/DMN6040SVTQ.pdf" TargetMode="External"/><Relationship Id="rId_hyperlink_1376" Type="http://schemas.openxmlformats.org/officeDocument/2006/relationships/hyperlink" Target="https://www.diodes.com/part/view/DMN6040SVTQ" TargetMode="External"/><Relationship Id="rId_hyperlink_1377" Type="http://schemas.openxmlformats.org/officeDocument/2006/relationships/hyperlink" Target="https://www.diodes.com/datasheet/download/DMN6041SVT.pdf" TargetMode="External"/><Relationship Id="rId_hyperlink_1378" Type="http://schemas.openxmlformats.org/officeDocument/2006/relationships/hyperlink" Target="https://www.diodes.com/part/view/DMN6041SVT" TargetMode="External"/><Relationship Id="rId_hyperlink_1379" Type="http://schemas.openxmlformats.org/officeDocument/2006/relationships/hyperlink" Target="https://www.diodes.com/datasheet/download/DMN6041SVTQ.pdf" TargetMode="External"/><Relationship Id="rId_hyperlink_1380" Type="http://schemas.openxmlformats.org/officeDocument/2006/relationships/hyperlink" Target="https://www.diodes.com/part/view/DMN6041SVTQ" TargetMode="External"/><Relationship Id="rId_hyperlink_1381" Type="http://schemas.openxmlformats.org/officeDocument/2006/relationships/hyperlink" Target="https://www.diodes.com/datasheet/download/DMN6066SSD.pdf" TargetMode="External"/><Relationship Id="rId_hyperlink_1382" Type="http://schemas.openxmlformats.org/officeDocument/2006/relationships/hyperlink" Target="https://www.diodes.com/part/view/DMN6066SSD" TargetMode="External"/><Relationship Id="rId_hyperlink_1383" Type="http://schemas.openxmlformats.org/officeDocument/2006/relationships/hyperlink" Target="https://www.diodes.com/datasheet/download/DMN6066SSDQ.pdf" TargetMode="External"/><Relationship Id="rId_hyperlink_1384" Type="http://schemas.openxmlformats.org/officeDocument/2006/relationships/hyperlink" Target="https://www.diodes.com/part/view/DMN6066SSDQ" TargetMode="External"/><Relationship Id="rId_hyperlink_1385" Type="http://schemas.openxmlformats.org/officeDocument/2006/relationships/hyperlink" Target="https://www.diodes.com/datasheet/download/DMN6066SSS.pdf" TargetMode="External"/><Relationship Id="rId_hyperlink_1386" Type="http://schemas.openxmlformats.org/officeDocument/2006/relationships/hyperlink" Target="https://www.diodes.com/part/view/DMN6066SSS" TargetMode="External"/><Relationship Id="rId_hyperlink_1387" Type="http://schemas.openxmlformats.org/officeDocument/2006/relationships/hyperlink" Target="https://www.diodes.com/datasheet/download/DMN6068LK3.pdf" TargetMode="External"/><Relationship Id="rId_hyperlink_1388" Type="http://schemas.openxmlformats.org/officeDocument/2006/relationships/hyperlink" Target="https://www.diodes.com/part/view/DMN6068LK3" TargetMode="External"/><Relationship Id="rId_hyperlink_1389" Type="http://schemas.openxmlformats.org/officeDocument/2006/relationships/hyperlink" Target="https://www.diodes.com/datasheet/download/DMN6068LK3Q.pdf" TargetMode="External"/><Relationship Id="rId_hyperlink_1390" Type="http://schemas.openxmlformats.org/officeDocument/2006/relationships/hyperlink" Target="https://www.diodes.com/part/view/DMN6068LK3Q" TargetMode="External"/><Relationship Id="rId_hyperlink_1391" Type="http://schemas.openxmlformats.org/officeDocument/2006/relationships/hyperlink" Target="https://www.diodes.com/datasheet/download/DMN6068SE.pdf" TargetMode="External"/><Relationship Id="rId_hyperlink_1392" Type="http://schemas.openxmlformats.org/officeDocument/2006/relationships/hyperlink" Target="https://www.diodes.com/part/view/DMN6068SE" TargetMode="External"/><Relationship Id="rId_hyperlink_1393" Type="http://schemas.openxmlformats.org/officeDocument/2006/relationships/hyperlink" Target="https://www.diodes.com/datasheet/download/DMN6068SEQ.pdf" TargetMode="External"/><Relationship Id="rId_hyperlink_1394" Type="http://schemas.openxmlformats.org/officeDocument/2006/relationships/hyperlink" Target="https://www.diodes.com/part/view/DMN6068SEQ" TargetMode="External"/><Relationship Id="rId_hyperlink_1395" Type="http://schemas.openxmlformats.org/officeDocument/2006/relationships/hyperlink" Target="https://www.diodes.com/datasheet/download/DMN6069SE.pdf" TargetMode="External"/><Relationship Id="rId_hyperlink_1396" Type="http://schemas.openxmlformats.org/officeDocument/2006/relationships/hyperlink" Target="https://www.diodes.com/part/view/DMN6069SE" TargetMode="External"/><Relationship Id="rId_hyperlink_1397" Type="http://schemas.openxmlformats.org/officeDocument/2006/relationships/hyperlink" Target="https://www.diodes.com/datasheet/download/DMN6069SEQ.pdf" TargetMode="External"/><Relationship Id="rId_hyperlink_1398" Type="http://schemas.openxmlformats.org/officeDocument/2006/relationships/hyperlink" Target="https://www.diodes.com/part/view/DMN6069SEQ" TargetMode="External"/><Relationship Id="rId_hyperlink_1399" Type="http://schemas.openxmlformats.org/officeDocument/2006/relationships/hyperlink" Target="https://www.diodes.com/datasheet/download/DMN6069SFG.pdf" TargetMode="External"/><Relationship Id="rId_hyperlink_1400" Type="http://schemas.openxmlformats.org/officeDocument/2006/relationships/hyperlink" Target="https://www.diodes.com/part/view/DMN6069SFG" TargetMode="External"/><Relationship Id="rId_hyperlink_1401" Type="http://schemas.openxmlformats.org/officeDocument/2006/relationships/hyperlink" Target="https://www.diodes.com/datasheet/download/DMN6069SFGQ.pdf" TargetMode="External"/><Relationship Id="rId_hyperlink_1402" Type="http://schemas.openxmlformats.org/officeDocument/2006/relationships/hyperlink" Target="https://www.diodes.com/part/view/DMN6069SFGQ" TargetMode="External"/><Relationship Id="rId_hyperlink_1403" Type="http://schemas.openxmlformats.org/officeDocument/2006/relationships/hyperlink" Target="https://www.diodes.com/datasheet/download/DMN6069SFVW.pdf" TargetMode="External"/><Relationship Id="rId_hyperlink_1404" Type="http://schemas.openxmlformats.org/officeDocument/2006/relationships/hyperlink" Target="https://www.diodes.com/part/view/DMN6069SFVW" TargetMode="External"/><Relationship Id="rId_hyperlink_1405" Type="http://schemas.openxmlformats.org/officeDocument/2006/relationships/hyperlink" Target="https://www.diodes.com/datasheet/download/DMN6069SFVWQ.pdf" TargetMode="External"/><Relationship Id="rId_hyperlink_1406" Type="http://schemas.openxmlformats.org/officeDocument/2006/relationships/hyperlink" Target="https://www.diodes.com/part/view/DMN6069SFVWQ" TargetMode="External"/><Relationship Id="rId_hyperlink_1407" Type="http://schemas.openxmlformats.org/officeDocument/2006/relationships/hyperlink" Target="https://www.diodes.com/datasheet/download/DMN6070LCA6.pdf" TargetMode="External"/><Relationship Id="rId_hyperlink_1408" Type="http://schemas.openxmlformats.org/officeDocument/2006/relationships/hyperlink" Target="https://www.diodes.com/part/view/DMN6070LCA6" TargetMode="External"/><Relationship Id="rId_hyperlink_1409" Type="http://schemas.openxmlformats.org/officeDocument/2006/relationships/hyperlink" Target="https://www.diodes.com/datasheet/download/DMN6070SFCL.pdf" TargetMode="External"/><Relationship Id="rId_hyperlink_1410" Type="http://schemas.openxmlformats.org/officeDocument/2006/relationships/hyperlink" Target="https://www.diodes.com/part/view/DMN6070SFCL" TargetMode="External"/><Relationship Id="rId_hyperlink_1411" Type="http://schemas.openxmlformats.org/officeDocument/2006/relationships/hyperlink" Target="https://www.diodes.com/datasheet/download/DMN6070SSD.pdf" TargetMode="External"/><Relationship Id="rId_hyperlink_1412" Type="http://schemas.openxmlformats.org/officeDocument/2006/relationships/hyperlink" Target="https://www.diodes.com/part/view/DMN6070SSD" TargetMode="External"/><Relationship Id="rId_hyperlink_1413" Type="http://schemas.openxmlformats.org/officeDocument/2006/relationships/hyperlink" Target="https://www.diodes.com/datasheet/download/DMN6070SSDQ.pdf" TargetMode="External"/><Relationship Id="rId_hyperlink_1414" Type="http://schemas.openxmlformats.org/officeDocument/2006/relationships/hyperlink" Target="https://www.diodes.com/part/view/DMN6070SSDQ" TargetMode="External"/><Relationship Id="rId_hyperlink_1415" Type="http://schemas.openxmlformats.org/officeDocument/2006/relationships/hyperlink" Target="https://www.diodes.com/datasheet/download/DMN6070SY.pdf" TargetMode="External"/><Relationship Id="rId_hyperlink_1416" Type="http://schemas.openxmlformats.org/officeDocument/2006/relationships/hyperlink" Target="https://www.diodes.com/part/view/DMN6070SY" TargetMode="External"/><Relationship Id="rId_hyperlink_1417" Type="http://schemas.openxmlformats.org/officeDocument/2006/relationships/hyperlink" Target="https://www.diodes.com/datasheet/download/DMN6075S.pdf" TargetMode="External"/><Relationship Id="rId_hyperlink_1418" Type="http://schemas.openxmlformats.org/officeDocument/2006/relationships/hyperlink" Target="https://www.diodes.com/part/view/DMN6075S" TargetMode="External"/><Relationship Id="rId_hyperlink_1419" Type="http://schemas.openxmlformats.org/officeDocument/2006/relationships/hyperlink" Target="https://www.diodes.com/datasheet/download/DMN6075SQ.pdf" TargetMode="External"/><Relationship Id="rId_hyperlink_1420" Type="http://schemas.openxmlformats.org/officeDocument/2006/relationships/hyperlink" Target="https://www.diodes.com/part/view/DMN6075SQ" TargetMode="External"/><Relationship Id="rId_hyperlink_1421" Type="http://schemas.openxmlformats.org/officeDocument/2006/relationships/hyperlink" Target="https://www.diodes.com/datasheet/download/DMN60H080DS.pdf" TargetMode="External"/><Relationship Id="rId_hyperlink_1422" Type="http://schemas.openxmlformats.org/officeDocument/2006/relationships/hyperlink" Target="https://www.diodes.com/part/view/DMN60H080DS" TargetMode="External"/><Relationship Id="rId_hyperlink_1423" Type="http://schemas.openxmlformats.org/officeDocument/2006/relationships/hyperlink" Target="https://www.diodes.com/datasheet/download/DMN6140L.pdf" TargetMode="External"/><Relationship Id="rId_hyperlink_1424" Type="http://schemas.openxmlformats.org/officeDocument/2006/relationships/hyperlink" Target="https://www.diodes.com/part/view/DMN6140L" TargetMode="External"/><Relationship Id="rId_hyperlink_1425" Type="http://schemas.openxmlformats.org/officeDocument/2006/relationships/hyperlink" Target="https://www.diodes.com/datasheet/download/DMN6140LQ.pdf" TargetMode="External"/><Relationship Id="rId_hyperlink_1426" Type="http://schemas.openxmlformats.org/officeDocument/2006/relationships/hyperlink" Target="https://www.diodes.com/part/view/DMN6140LQ" TargetMode="External"/><Relationship Id="rId_hyperlink_1427" Type="http://schemas.openxmlformats.org/officeDocument/2006/relationships/hyperlink" Target="https://www.diodes.com/datasheet/download/DMN61D8L.pdf" TargetMode="External"/><Relationship Id="rId_hyperlink_1428" Type="http://schemas.openxmlformats.org/officeDocument/2006/relationships/hyperlink" Target="https://www.diodes.com/part/view/DMN61D8L" TargetMode="External"/><Relationship Id="rId_hyperlink_1429" Type="http://schemas.openxmlformats.org/officeDocument/2006/relationships/hyperlink" Target="https://www.diodes.com/datasheet/download/DMN61D8LQ.pdf" TargetMode="External"/><Relationship Id="rId_hyperlink_1430" Type="http://schemas.openxmlformats.org/officeDocument/2006/relationships/hyperlink" Target="https://www.diodes.com/part/view/DMN61D8LQ" TargetMode="External"/><Relationship Id="rId_hyperlink_1431" Type="http://schemas.openxmlformats.org/officeDocument/2006/relationships/hyperlink" Target="https://www.diodes.com/datasheet/download/DMN61D8LVT.pdf" TargetMode="External"/><Relationship Id="rId_hyperlink_1432" Type="http://schemas.openxmlformats.org/officeDocument/2006/relationships/hyperlink" Target="https://www.diodes.com/part/view/DMN61D8LVT" TargetMode="External"/><Relationship Id="rId_hyperlink_1433" Type="http://schemas.openxmlformats.org/officeDocument/2006/relationships/hyperlink" Target="https://www.diodes.com/datasheet/download/DMN61D8LVTQ.pdf" TargetMode="External"/><Relationship Id="rId_hyperlink_1434" Type="http://schemas.openxmlformats.org/officeDocument/2006/relationships/hyperlink" Target="https://www.diodes.com/part/view/DMN61D8LVTQ" TargetMode="External"/><Relationship Id="rId_hyperlink_1435" Type="http://schemas.openxmlformats.org/officeDocument/2006/relationships/hyperlink" Target="https://www.diodes.com/datasheet/download/DMN61D9UDWQ.pdf" TargetMode="External"/><Relationship Id="rId_hyperlink_1436" Type="http://schemas.openxmlformats.org/officeDocument/2006/relationships/hyperlink" Target="https://www.diodes.com/part/view/DMN61D9UDWQ" TargetMode="External"/><Relationship Id="rId_hyperlink_1437" Type="http://schemas.openxmlformats.org/officeDocument/2006/relationships/hyperlink" Target="https://www.diodes.com/datasheet/download/DMN62D0LFB.pdf" TargetMode="External"/><Relationship Id="rId_hyperlink_1438" Type="http://schemas.openxmlformats.org/officeDocument/2006/relationships/hyperlink" Target="https://www.diodes.com/part/view/DMN62D0LFB" TargetMode="External"/><Relationship Id="rId_hyperlink_1439" Type="http://schemas.openxmlformats.org/officeDocument/2006/relationships/hyperlink" Target="https://www.diodes.com/datasheet/download/DMN62D0LFD.pdf" TargetMode="External"/><Relationship Id="rId_hyperlink_1440" Type="http://schemas.openxmlformats.org/officeDocument/2006/relationships/hyperlink" Target="https://www.diodes.com/part/view/DMN62D0LFD" TargetMode="External"/><Relationship Id="rId_hyperlink_1441" Type="http://schemas.openxmlformats.org/officeDocument/2006/relationships/hyperlink" Target="https://www.diodes.com/datasheet/download/DMN62D0SFD.pdf" TargetMode="External"/><Relationship Id="rId_hyperlink_1442" Type="http://schemas.openxmlformats.org/officeDocument/2006/relationships/hyperlink" Target="https://www.diodes.com/part/view/DMN62D0SFD" TargetMode="External"/><Relationship Id="rId_hyperlink_1443" Type="http://schemas.openxmlformats.org/officeDocument/2006/relationships/hyperlink" Target="https://www.diodes.com/datasheet/download/DMN62D0U.pdf" TargetMode="External"/><Relationship Id="rId_hyperlink_1444" Type="http://schemas.openxmlformats.org/officeDocument/2006/relationships/hyperlink" Target="https://www.diodes.com/part/view/DMN62D0U" TargetMode="External"/><Relationship Id="rId_hyperlink_1445" Type="http://schemas.openxmlformats.org/officeDocument/2006/relationships/hyperlink" Target="https://www.diodes.com/datasheet/download/DMN62D0UDW.pdf" TargetMode="External"/><Relationship Id="rId_hyperlink_1446" Type="http://schemas.openxmlformats.org/officeDocument/2006/relationships/hyperlink" Target="https://www.diodes.com/part/view/DMN62D0UDW" TargetMode="External"/><Relationship Id="rId_hyperlink_1447" Type="http://schemas.openxmlformats.org/officeDocument/2006/relationships/hyperlink" Target="https://www.diodes.com/datasheet/download/DMN62D0UDWQ.pdf" TargetMode="External"/><Relationship Id="rId_hyperlink_1448" Type="http://schemas.openxmlformats.org/officeDocument/2006/relationships/hyperlink" Target="https://www.diodes.com/part/view/DMN62D0UDWQ" TargetMode="External"/><Relationship Id="rId_hyperlink_1449" Type="http://schemas.openxmlformats.org/officeDocument/2006/relationships/hyperlink" Target="https://www.diodes.com/datasheet/download/DMN62D0UT.pdf" TargetMode="External"/><Relationship Id="rId_hyperlink_1450" Type="http://schemas.openxmlformats.org/officeDocument/2006/relationships/hyperlink" Target="https://www.diodes.com/part/view/DMN62D0UT" TargetMode="External"/><Relationship Id="rId_hyperlink_1451" Type="http://schemas.openxmlformats.org/officeDocument/2006/relationships/hyperlink" Target="https://www.diodes.com/datasheet/download/DMN62D0UV.pdf" TargetMode="External"/><Relationship Id="rId_hyperlink_1452" Type="http://schemas.openxmlformats.org/officeDocument/2006/relationships/hyperlink" Target="https://www.diodes.com/part/view/DMN62D0UV" TargetMode="External"/><Relationship Id="rId_hyperlink_1453" Type="http://schemas.openxmlformats.org/officeDocument/2006/relationships/hyperlink" Target="https://www.diodes.com/datasheet/download/DMN62D1LFB.pdf" TargetMode="External"/><Relationship Id="rId_hyperlink_1454" Type="http://schemas.openxmlformats.org/officeDocument/2006/relationships/hyperlink" Target="https://www.diodes.com/part/view/DMN62D1LFB" TargetMode="External"/><Relationship Id="rId_hyperlink_1455" Type="http://schemas.openxmlformats.org/officeDocument/2006/relationships/hyperlink" Target="https://www.diodes.com/datasheet/download/DMN62D1LFD.pdf" TargetMode="External"/><Relationship Id="rId_hyperlink_1456" Type="http://schemas.openxmlformats.org/officeDocument/2006/relationships/hyperlink" Target="https://www.diodes.com/part/view/DMN62D1LFD" TargetMode="External"/><Relationship Id="rId_hyperlink_1457" Type="http://schemas.openxmlformats.org/officeDocument/2006/relationships/hyperlink" Target="https://www.diodes.com/datasheet/download/DMN62D1LFDQ.pdf" TargetMode="External"/><Relationship Id="rId_hyperlink_1458" Type="http://schemas.openxmlformats.org/officeDocument/2006/relationships/hyperlink" Target="https://www.diodes.com/part/view/DMN62D1LFDQ" TargetMode="External"/><Relationship Id="rId_hyperlink_1459" Type="http://schemas.openxmlformats.org/officeDocument/2006/relationships/hyperlink" Target="https://www.diodes.com/datasheet/download/DMN62D1SFB.pdf" TargetMode="External"/><Relationship Id="rId_hyperlink_1460" Type="http://schemas.openxmlformats.org/officeDocument/2006/relationships/hyperlink" Target="https://www.diodes.com/part/view/DMN62D1SFB" TargetMode="External"/><Relationship Id="rId_hyperlink_1461" Type="http://schemas.openxmlformats.org/officeDocument/2006/relationships/hyperlink" Target="https://www.diodes.com/datasheet/download/DMN62D1SFBW.pdf" TargetMode="External"/><Relationship Id="rId_hyperlink_1462" Type="http://schemas.openxmlformats.org/officeDocument/2006/relationships/hyperlink" Target="https://www.diodes.com/part/view/DMN62D1SFBW" TargetMode="External"/><Relationship Id="rId_hyperlink_1463" Type="http://schemas.openxmlformats.org/officeDocument/2006/relationships/hyperlink" Target="https://www.diodes.com/datasheet/download/DMN62D1SFBWQ.pdf" TargetMode="External"/><Relationship Id="rId_hyperlink_1464" Type="http://schemas.openxmlformats.org/officeDocument/2006/relationships/hyperlink" Target="https://www.diodes.com/part/view/DMN62D1SFBWQ" TargetMode="External"/><Relationship Id="rId_hyperlink_1465" Type="http://schemas.openxmlformats.org/officeDocument/2006/relationships/hyperlink" Target="https://www.diodes.com/datasheet/download/DMN62D2U.pdf" TargetMode="External"/><Relationship Id="rId_hyperlink_1466" Type="http://schemas.openxmlformats.org/officeDocument/2006/relationships/hyperlink" Target="https://www.diodes.com/part/view/DMN62D2U" TargetMode="External"/><Relationship Id="rId_hyperlink_1467" Type="http://schemas.openxmlformats.org/officeDocument/2006/relationships/hyperlink" Target="https://www.diodes.com/datasheet/download/DMN62D2UDM.pdf" TargetMode="External"/><Relationship Id="rId_hyperlink_1468" Type="http://schemas.openxmlformats.org/officeDocument/2006/relationships/hyperlink" Target="https://www.diodes.com/part/view/DMN62D2UDM" TargetMode="External"/><Relationship Id="rId_hyperlink_1469" Type="http://schemas.openxmlformats.org/officeDocument/2006/relationships/hyperlink" Target="https://www.diodes.com/datasheet/download/DMN62D2UDMQ.pdf" TargetMode="External"/><Relationship Id="rId_hyperlink_1470" Type="http://schemas.openxmlformats.org/officeDocument/2006/relationships/hyperlink" Target="https://www.diodes.com/part/view/DMN62D2UDMQ" TargetMode="External"/><Relationship Id="rId_hyperlink_1471" Type="http://schemas.openxmlformats.org/officeDocument/2006/relationships/hyperlink" Target="https://www.diodes.com/datasheet/download/DMN62D2UDW.pdf" TargetMode="External"/><Relationship Id="rId_hyperlink_1472" Type="http://schemas.openxmlformats.org/officeDocument/2006/relationships/hyperlink" Target="https://www.diodes.com/part/view/DMN62D2UDW" TargetMode="External"/><Relationship Id="rId_hyperlink_1473" Type="http://schemas.openxmlformats.org/officeDocument/2006/relationships/hyperlink" Target="https://www.diodes.com/datasheet/download/DMN62D2UDWQ.pdf" TargetMode="External"/><Relationship Id="rId_hyperlink_1474" Type="http://schemas.openxmlformats.org/officeDocument/2006/relationships/hyperlink" Target="https://www.diodes.com/part/view/DMN62D2UDWQ" TargetMode="External"/><Relationship Id="rId_hyperlink_1475" Type="http://schemas.openxmlformats.org/officeDocument/2006/relationships/hyperlink" Target="https://www.diodes.com/datasheet/download/DMN62D2UQ.pdf" TargetMode="External"/><Relationship Id="rId_hyperlink_1476" Type="http://schemas.openxmlformats.org/officeDocument/2006/relationships/hyperlink" Target="https://www.diodes.com/part/view/DMN62D2UQ" TargetMode="External"/><Relationship Id="rId_hyperlink_1477" Type="http://schemas.openxmlformats.org/officeDocument/2006/relationships/hyperlink" Target="https://www.diodes.com/datasheet/download/DMN62D2UT.pdf" TargetMode="External"/><Relationship Id="rId_hyperlink_1478" Type="http://schemas.openxmlformats.org/officeDocument/2006/relationships/hyperlink" Target="https://www.diodes.com/part/view/DMN62D2UT" TargetMode="External"/><Relationship Id="rId_hyperlink_1479" Type="http://schemas.openxmlformats.org/officeDocument/2006/relationships/hyperlink" Target="https://www.diodes.com/datasheet/download/DMN62D2UTQ.pdf" TargetMode="External"/><Relationship Id="rId_hyperlink_1480" Type="http://schemas.openxmlformats.org/officeDocument/2006/relationships/hyperlink" Target="https://www.diodes.com/part/view/DMN62D2UTQ" TargetMode="External"/><Relationship Id="rId_hyperlink_1481" Type="http://schemas.openxmlformats.org/officeDocument/2006/relationships/hyperlink" Target="https://www.diodes.com/datasheet/download/DMN62D2UV.pdf" TargetMode="External"/><Relationship Id="rId_hyperlink_1482" Type="http://schemas.openxmlformats.org/officeDocument/2006/relationships/hyperlink" Target="https://www.diodes.com/part/view/DMN62D2UV" TargetMode="External"/><Relationship Id="rId_hyperlink_1483" Type="http://schemas.openxmlformats.org/officeDocument/2006/relationships/hyperlink" Target="https://www.diodes.com/datasheet/download/DMN62D2UVQ.pdf" TargetMode="External"/><Relationship Id="rId_hyperlink_1484" Type="http://schemas.openxmlformats.org/officeDocument/2006/relationships/hyperlink" Target="https://www.diodes.com/part/view/DMN62D2UVQ" TargetMode="External"/><Relationship Id="rId_hyperlink_1485" Type="http://schemas.openxmlformats.org/officeDocument/2006/relationships/hyperlink" Target="https://www.diodes.com/datasheet/download/DMN62D2UVT.pdf" TargetMode="External"/><Relationship Id="rId_hyperlink_1486" Type="http://schemas.openxmlformats.org/officeDocument/2006/relationships/hyperlink" Target="https://www.diodes.com/part/view/DMN62D2UVT" TargetMode="External"/><Relationship Id="rId_hyperlink_1487" Type="http://schemas.openxmlformats.org/officeDocument/2006/relationships/hyperlink" Target="https://www.diodes.com/datasheet/download/DMN62D2UVTQ.pdf" TargetMode="External"/><Relationship Id="rId_hyperlink_1488" Type="http://schemas.openxmlformats.org/officeDocument/2006/relationships/hyperlink" Target="https://www.diodes.com/part/view/DMN62D2UVTQ" TargetMode="External"/><Relationship Id="rId_hyperlink_1489" Type="http://schemas.openxmlformats.org/officeDocument/2006/relationships/hyperlink" Target="https://www.diodes.com/datasheet/download/DMN62D2UW.pdf" TargetMode="External"/><Relationship Id="rId_hyperlink_1490" Type="http://schemas.openxmlformats.org/officeDocument/2006/relationships/hyperlink" Target="https://www.diodes.com/part/view/DMN62D2UW" TargetMode="External"/><Relationship Id="rId_hyperlink_1491" Type="http://schemas.openxmlformats.org/officeDocument/2006/relationships/hyperlink" Target="https://www.diodes.com/datasheet/download/DMN62D2UWQ.pdf" TargetMode="External"/><Relationship Id="rId_hyperlink_1492" Type="http://schemas.openxmlformats.org/officeDocument/2006/relationships/hyperlink" Target="https://www.diodes.com/part/view/DMN62D2UWQ" TargetMode="External"/><Relationship Id="rId_hyperlink_1493" Type="http://schemas.openxmlformats.org/officeDocument/2006/relationships/hyperlink" Target="https://www.diodes.com/datasheet/download/DMN62D4LDW.pdf" TargetMode="External"/><Relationship Id="rId_hyperlink_1494" Type="http://schemas.openxmlformats.org/officeDocument/2006/relationships/hyperlink" Target="https://www.diodes.com/part/view/DMN62D4LDW" TargetMode="External"/><Relationship Id="rId_hyperlink_1495" Type="http://schemas.openxmlformats.org/officeDocument/2006/relationships/hyperlink" Target="https://www.diodes.com/datasheet/download/DMN62D4LFB.pdf" TargetMode="External"/><Relationship Id="rId_hyperlink_1496" Type="http://schemas.openxmlformats.org/officeDocument/2006/relationships/hyperlink" Target="https://www.diodes.com/part/view/DMN62D4LFB" TargetMode="External"/><Relationship Id="rId_hyperlink_1497" Type="http://schemas.openxmlformats.org/officeDocument/2006/relationships/hyperlink" Target="https://www.diodes.com/datasheet/download/DMN62D4LFB4.pdf" TargetMode="External"/><Relationship Id="rId_hyperlink_1498" Type="http://schemas.openxmlformats.org/officeDocument/2006/relationships/hyperlink" Target="https://www.diodes.com/part/view/DMN62D4LFB4" TargetMode="External"/><Relationship Id="rId_hyperlink_1499" Type="http://schemas.openxmlformats.org/officeDocument/2006/relationships/hyperlink" Target="https://www.diodes.com/datasheet/download/DMN63D1L.pdf" TargetMode="External"/><Relationship Id="rId_hyperlink_1500" Type="http://schemas.openxmlformats.org/officeDocument/2006/relationships/hyperlink" Target="https://www.diodes.com/part/view/DMN63D1L" TargetMode="External"/><Relationship Id="rId_hyperlink_1501" Type="http://schemas.openxmlformats.org/officeDocument/2006/relationships/hyperlink" Target="https://www.diodes.com/datasheet/download/DMN63D1LDW.pdf" TargetMode="External"/><Relationship Id="rId_hyperlink_1502" Type="http://schemas.openxmlformats.org/officeDocument/2006/relationships/hyperlink" Target="https://www.diodes.com/part/view/DMN63D1LDW" TargetMode="External"/><Relationship Id="rId_hyperlink_1503" Type="http://schemas.openxmlformats.org/officeDocument/2006/relationships/hyperlink" Target="https://www.diodes.com/datasheet/download/DMN63D1LT.pdf" TargetMode="External"/><Relationship Id="rId_hyperlink_1504" Type="http://schemas.openxmlformats.org/officeDocument/2006/relationships/hyperlink" Target="https://www.diodes.com/part/view/DMN63D1LT" TargetMode="External"/><Relationship Id="rId_hyperlink_1505" Type="http://schemas.openxmlformats.org/officeDocument/2006/relationships/hyperlink" Target="https://www.diodes.com/datasheet/download/DMN63D1LV.pdf" TargetMode="External"/><Relationship Id="rId_hyperlink_1506" Type="http://schemas.openxmlformats.org/officeDocument/2006/relationships/hyperlink" Target="https://www.diodes.com/part/view/DMN63D1LV" TargetMode="External"/><Relationship Id="rId_hyperlink_1507" Type="http://schemas.openxmlformats.org/officeDocument/2006/relationships/hyperlink" Target="https://www.diodes.com/datasheet/download/DMN63D1LVQ.pdf" TargetMode="External"/><Relationship Id="rId_hyperlink_1508" Type="http://schemas.openxmlformats.org/officeDocument/2006/relationships/hyperlink" Target="https://www.diodes.com/part/view/DMN63D1LVQ" TargetMode="External"/><Relationship Id="rId_hyperlink_1509" Type="http://schemas.openxmlformats.org/officeDocument/2006/relationships/hyperlink" Target="https://www.diodes.com/datasheet/download/DMN63D1LW.pdf" TargetMode="External"/><Relationship Id="rId_hyperlink_1510" Type="http://schemas.openxmlformats.org/officeDocument/2006/relationships/hyperlink" Target="https://www.diodes.com/part/view/DMN63D1LW" TargetMode="External"/><Relationship Id="rId_hyperlink_1511" Type="http://schemas.openxmlformats.org/officeDocument/2006/relationships/hyperlink" Target="https://www.diodes.com/datasheet/download/DMN63D8L.pdf" TargetMode="External"/><Relationship Id="rId_hyperlink_1512" Type="http://schemas.openxmlformats.org/officeDocument/2006/relationships/hyperlink" Target="https://www.diodes.com/part/view/DMN63D8L" TargetMode="External"/><Relationship Id="rId_hyperlink_1513" Type="http://schemas.openxmlformats.org/officeDocument/2006/relationships/hyperlink" Target="https://www.diodes.com/datasheet/download/DMN63D8LDW.pdf" TargetMode="External"/><Relationship Id="rId_hyperlink_1514" Type="http://schemas.openxmlformats.org/officeDocument/2006/relationships/hyperlink" Target="https://www.diodes.com/part/view/DMN63D8LDW" TargetMode="External"/><Relationship Id="rId_hyperlink_1515" Type="http://schemas.openxmlformats.org/officeDocument/2006/relationships/hyperlink" Target="https://www.diodes.com/datasheet/download/DMN63D8LV.pdf" TargetMode="External"/><Relationship Id="rId_hyperlink_1516" Type="http://schemas.openxmlformats.org/officeDocument/2006/relationships/hyperlink" Target="https://www.diodes.com/part/view/DMN63D8LV" TargetMode="External"/><Relationship Id="rId_hyperlink_1517" Type="http://schemas.openxmlformats.org/officeDocument/2006/relationships/hyperlink" Target="https://www.diodes.com/datasheet/download/DMN63D8LW.pdf" TargetMode="External"/><Relationship Id="rId_hyperlink_1518" Type="http://schemas.openxmlformats.org/officeDocument/2006/relationships/hyperlink" Target="https://www.diodes.com/part/view/DMN63D8LW" TargetMode="External"/><Relationship Id="rId_hyperlink_1519" Type="http://schemas.openxmlformats.org/officeDocument/2006/relationships/hyperlink" Target="https://www.diodes.com/datasheet/download/DMN65D7LFR4.pdf" TargetMode="External"/><Relationship Id="rId_hyperlink_1520" Type="http://schemas.openxmlformats.org/officeDocument/2006/relationships/hyperlink" Target="https://www.diodes.com/part/view/DMN65D7LFR4" TargetMode="External"/><Relationship Id="rId_hyperlink_1521" Type="http://schemas.openxmlformats.org/officeDocument/2006/relationships/hyperlink" Target="https://www.diodes.com/datasheet/download/DMN65D8L.pdf" TargetMode="External"/><Relationship Id="rId_hyperlink_1522" Type="http://schemas.openxmlformats.org/officeDocument/2006/relationships/hyperlink" Target="https://www.diodes.com/part/view/DMN65D8L" TargetMode="External"/><Relationship Id="rId_hyperlink_1523" Type="http://schemas.openxmlformats.org/officeDocument/2006/relationships/hyperlink" Target="https://www.diodes.com/datasheet/download/DMN65D8LDW.pdf" TargetMode="External"/><Relationship Id="rId_hyperlink_1524" Type="http://schemas.openxmlformats.org/officeDocument/2006/relationships/hyperlink" Target="https://www.diodes.com/part/view/DMN65D8LDW" TargetMode="External"/><Relationship Id="rId_hyperlink_1525" Type="http://schemas.openxmlformats.org/officeDocument/2006/relationships/hyperlink" Target="https://www.diodes.com/datasheet/download/DMN65D8LDWQ.pdf" TargetMode="External"/><Relationship Id="rId_hyperlink_1526" Type="http://schemas.openxmlformats.org/officeDocument/2006/relationships/hyperlink" Target="https://www.diodes.com/part/view/DMN65D8LDWQ" TargetMode="External"/><Relationship Id="rId_hyperlink_1527" Type="http://schemas.openxmlformats.org/officeDocument/2006/relationships/hyperlink" Target="https://www.diodes.com/datasheet/download/DMN65D8LFB.pdf" TargetMode="External"/><Relationship Id="rId_hyperlink_1528" Type="http://schemas.openxmlformats.org/officeDocument/2006/relationships/hyperlink" Target="https://www.diodes.com/part/view/DMN65D8LFB" TargetMode="External"/><Relationship Id="rId_hyperlink_1529" Type="http://schemas.openxmlformats.org/officeDocument/2006/relationships/hyperlink" Target="https://www.diodes.com/datasheet/download/DMN65D8LQ.pdf" TargetMode="External"/><Relationship Id="rId_hyperlink_1530" Type="http://schemas.openxmlformats.org/officeDocument/2006/relationships/hyperlink" Target="https://www.diodes.com/part/view/DMN65D8LQ" TargetMode="External"/><Relationship Id="rId_hyperlink_1531" Type="http://schemas.openxmlformats.org/officeDocument/2006/relationships/hyperlink" Target="https://www.diodes.com/datasheet/download/DMN65D8LT.pdf" TargetMode="External"/><Relationship Id="rId_hyperlink_1532" Type="http://schemas.openxmlformats.org/officeDocument/2006/relationships/hyperlink" Target="https://www.diodes.com/part/view/DMN65D8LT" TargetMode="External"/><Relationship Id="rId_hyperlink_1533" Type="http://schemas.openxmlformats.org/officeDocument/2006/relationships/hyperlink" Target="https://www.diodes.com/datasheet/download/DMN65D8LW.pdf" TargetMode="External"/><Relationship Id="rId_hyperlink_1534" Type="http://schemas.openxmlformats.org/officeDocument/2006/relationships/hyperlink" Target="https://www.diodes.com/part/view/DMN65D8LW" TargetMode="External"/><Relationship Id="rId_hyperlink_1535" Type="http://schemas.openxmlformats.org/officeDocument/2006/relationships/hyperlink" Target="https://www.diodes.com/datasheet/download/DMN65D9L.pdf" TargetMode="External"/><Relationship Id="rId_hyperlink_1536" Type="http://schemas.openxmlformats.org/officeDocument/2006/relationships/hyperlink" Target="https://www.diodes.com/part/view/DMN65D9L" TargetMode="External"/><Relationship Id="rId_hyperlink_1537" Type="http://schemas.openxmlformats.org/officeDocument/2006/relationships/hyperlink" Target="https://www.diodes.com/datasheet/download/DMN66D0LDW.pdf" TargetMode="External"/><Relationship Id="rId_hyperlink_1538" Type="http://schemas.openxmlformats.org/officeDocument/2006/relationships/hyperlink" Target="https://www.diodes.com/part/view/DMN66D0LDW" TargetMode="External"/><Relationship Id="rId_hyperlink_1539" Type="http://schemas.openxmlformats.org/officeDocument/2006/relationships/hyperlink" Target="https://www.diodes.com/datasheet/download/DMN66D0LDWQ.pdf" TargetMode="External"/><Relationship Id="rId_hyperlink_1540" Type="http://schemas.openxmlformats.org/officeDocument/2006/relationships/hyperlink" Target="https://www.diodes.com/part/view/DMN66D0LDWQ" TargetMode="External"/><Relationship Id="rId_hyperlink_1541" Type="http://schemas.openxmlformats.org/officeDocument/2006/relationships/hyperlink" Target="https://www.diodes.com/datasheet/download/DMN66D0LT.pdf" TargetMode="External"/><Relationship Id="rId_hyperlink_1542" Type="http://schemas.openxmlformats.org/officeDocument/2006/relationships/hyperlink" Target="https://www.diodes.com/part/view/DMN66D0LT" TargetMode="External"/><Relationship Id="rId_hyperlink_1543" Type="http://schemas.openxmlformats.org/officeDocument/2006/relationships/hyperlink" Target="https://www.diodes.com/datasheet/download/DMN67D7L.pdf" TargetMode="External"/><Relationship Id="rId_hyperlink_1544" Type="http://schemas.openxmlformats.org/officeDocument/2006/relationships/hyperlink" Target="https://www.diodes.com/part/view/DMN67D7L" TargetMode="External"/><Relationship Id="rId_hyperlink_1545" Type="http://schemas.openxmlformats.org/officeDocument/2006/relationships/hyperlink" Target="https://www.diodes.com/datasheet/download/DMN67D8L.pdf" TargetMode="External"/><Relationship Id="rId_hyperlink_1546" Type="http://schemas.openxmlformats.org/officeDocument/2006/relationships/hyperlink" Target="https://www.diodes.com/part/view/DMN67D8L" TargetMode="External"/><Relationship Id="rId_hyperlink_1547" Type="http://schemas.openxmlformats.org/officeDocument/2006/relationships/hyperlink" Target="https://www.diodes.com/datasheet/download/DMN67D8LDW.pdf" TargetMode="External"/><Relationship Id="rId_hyperlink_1548" Type="http://schemas.openxmlformats.org/officeDocument/2006/relationships/hyperlink" Target="https://www.diodes.com/part/view/DMN67D8LDW" TargetMode="External"/><Relationship Id="rId_hyperlink_1549" Type="http://schemas.openxmlformats.org/officeDocument/2006/relationships/hyperlink" Target="https://www.diodes.com/datasheet/download/DMN67D8LT.pdf" TargetMode="External"/><Relationship Id="rId_hyperlink_1550" Type="http://schemas.openxmlformats.org/officeDocument/2006/relationships/hyperlink" Target="https://www.diodes.com/part/view/DMN67D8LT" TargetMode="External"/><Relationship Id="rId_hyperlink_1551" Type="http://schemas.openxmlformats.org/officeDocument/2006/relationships/hyperlink" Target="https://www.diodes.com/datasheet/download/DMN67D8LW.pdf" TargetMode="External"/><Relationship Id="rId_hyperlink_1552" Type="http://schemas.openxmlformats.org/officeDocument/2006/relationships/hyperlink" Target="https://www.diodes.com/part/view/DMN67D8LW" TargetMode="External"/><Relationship Id="rId_hyperlink_1553" Type="http://schemas.openxmlformats.org/officeDocument/2006/relationships/hyperlink" Target="https://www.diodes.com/datasheet/download/DMN68M7SCT.pdf" TargetMode="External"/><Relationship Id="rId_hyperlink_1554" Type="http://schemas.openxmlformats.org/officeDocument/2006/relationships/hyperlink" Target="https://www.diodes.com/part/view/DMN68M7SCT" TargetMode="External"/><Relationship Id="rId_hyperlink_1555" Type="http://schemas.openxmlformats.org/officeDocument/2006/relationships/hyperlink" Target="https://www.diodes.com/datasheet/download/DMNH10H021SPSW.pdf" TargetMode="External"/><Relationship Id="rId_hyperlink_1556" Type="http://schemas.openxmlformats.org/officeDocument/2006/relationships/hyperlink" Target="https://www.diodes.com/part/view/DMNH10H021SPSW" TargetMode="External"/><Relationship Id="rId_hyperlink_1557" Type="http://schemas.openxmlformats.org/officeDocument/2006/relationships/hyperlink" Target="https://www.diodes.com/datasheet/download/DMNH10H028SCT.pdf" TargetMode="External"/><Relationship Id="rId_hyperlink_1558" Type="http://schemas.openxmlformats.org/officeDocument/2006/relationships/hyperlink" Target="https://www.diodes.com/part/view/DMNH10H028SCT" TargetMode="External"/><Relationship Id="rId_hyperlink_1559" Type="http://schemas.openxmlformats.org/officeDocument/2006/relationships/hyperlink" Target="https://www.diodes.com/datasheet/download/DMNH10H028SK3.pdf" TargetMode="External"/><Relationship Id="rId_hyperlink_1560" Type="http://schemas.openxmlformats.org/officeDocument/2006/relationships/hyperlink" Target="https://www.diodes.com/part/view/DMNH10H028SK3" TargetMode="External"/><Relationship Id="rId_hyperlink_1561" Type="http://schemas.openxmlformats.org/officeDocument/2006/relationships/hyperlink" Target="https://www.diodes.com/datasheet/download/DMNH10H028SK3Q.pdf" TargetMode="External"/><Relationship Id="rId_hyperlink_1562" Type="http://schemas.openxmlformats.org/officeDocument/2006/relationships/hyperlink" Target="https://www.diodes.com/part/view/DMNH10H028SK3Q" TargetMode="External"/><Relationship Id="rId_hyperlink_1563" Type="http://schemas.openxmlformats.org/officeDocument/2006/relationships/hyperlink" Target="https://www.diodes.com/datasheet/download/DMNH10H028SPS.pdf" TargetMode="External"/><Relationship Id="rId_hyperlink_1564" Type="http://schemas.openxmlformats.org/officeDocument/2006/relationships/hyperlink" Target="https://www.diodes.com/part/view/DMNH10H028SPS" TargetMode="External"/><Relationship Id="rId_hyperlink_1565" Type="http://schemas.openxmlformats.org/officeDocument/2006/relationships/hyperlink" Target="https://www.diodes.com/datasheet/download/DMNH10H028SPSQ.pdf" TargetMode="External"/><Relationship Id="rId_hyperlink_1566" Type="http://schemas.openxmlformats.org/officeDocument/2006/relationships/hyperlink" Target="https://www.diodes.com/part/view/DMNH10H028SPSQ" TargetMode="External"/><Relationship Id="rId_hyperlink_1567" Type="http://schemas.openxmlformats.org/officeDocument/2006/relationships/hyperlink" Target="https://www.diodes.com/datasheet/download/DMNH10H028SPSW.pdf" TargetMode="External"/><Relationship Id="rId_hyperlink_1568" Type="http://schemas.openxmlformats.org/officeDocument/2006/relationships/hyperlink" Target="https://www.diodes.com/part/view/DMNH10H028SPSW" TargetMode="External"/><Relationship Id="rId_hyperlink_1569" Type="http://schemas.openxmlformats.org/officeDocument/2006/relationships/hyperlink" Target="https://www.diodes.com/datasheet/download/DMNH10H028SPSWQ.pdf" TargetMode="External"/><Relationship Id="rId_hyperlink_1570" Type="http://schemas.openxmlformats.org/officeDocument/2006/relationships/hyperlink" Target="https://www.diodes.com/part/view/DMNH10H028SPSWQ" TargetMode="External"/><Relationship Id="rId_hyperlink_1571" Type="http://schemas.openxmlformats.org/officeDocument/2006/relationships/hyperlink" Target="https://www.diodes.com/datasheet/download/DMNH3010LK3.pdf" TargetMode="External"/><Relationship Id="rId_hyperlink_1572" Type="http://schemas.openxmlformats.org/officeDocument/2006/relationships/hyperlink" Target="https://www.diodes.com/part/view/DMNH3010LK3" TargetMode="External"/><Relationship Id="rId_hyperlink_1573" Type="http://schemas.openxmlformats.org/officeDocument/2006/relationships/hyperlink" Target="https://www.diodes.com/datasheet/download/DMNH4004SPS.pdf" TargetMode="External"/><Relationship Id="rId_hyperlink_1574" Type="http://schemas.openxmlformats.org/officeDocument/2006/relationships/hyperlink" Target="https://www.diodes.com/part/view/DMNH4004SPS" TargetMode="External"/><Relationship Id="rId_hyperlink_1575" Type="http://schemas.openxmlformats.org/officeDocument/2006/relationships/hyperlink" Target="https://www.diodes.com/datasheet/download/DMNH4005SCT.pdf" TargetMode="External"/><Relationship Id="rId_hyperlink_1576" Type="http://schemas.openxmlformats.org/officeDocument/2006/relationships/hyperlink" Target="https://www.diodes.com/part/view/DMNH4005SCT" TargetMode="External"/><Relationship Id="rId_hyperlink_1577" Type="http://schemas.openxmlformats.org/officeDocument/2006/relationships/hyperlink" Target="https://www.diodes.com/datasheet/download/DMNH4005SCTQ.pdf" TargetMode="External"/><Relationship Id="rId_hyperlink_1578" Type="http://schemas.openxmlformats.org/officeDocument/2006/relationships/hyperlink" Target="https://www.diodes.com/part/view/DMNH4005SCTQ" TargetMode="External"/><Relationship Id="rId_hyperlink_1579" Type="http://schemas.openxmlformats.org/officeDocument/2006/relationships/hyperlink" Target="https://www.diodes.com/datasheet/download/DMNH4005SPS.pdf" TargetMode="External"/><Relationship Id="rId_hyperlink_1580" Type="http://schemas.openxmlformats.org/officeDocument/2006/relationships/hyperlink" Target="https://www.diodes.com/part/view/DMNH4005SPS" TargetMode="External"/><Relationship Id="rId_hyperlink_1581" Type="http://schemas.openxmlformats.org/officeDocument/2006/relationships/hyperlink" Target="https://www.diodes.com/datasheet/download/DMNH4005SPSQ.pdf" TargetMode="External"/><Relationship Id="rId_hyperlink_1582" Type="http://schemas.openxmlformats.org/officeDocument/2006/relationships/hyperlink" Target="https://www.diodes.com/part/view/DMNH4005SPSQ" TargetMode="External"/><Relationship Id="rId_hyperlink_1583" Type="http://schemas.openxmlformats.org/officeDocument/2006/relationships/hyperlink" Target="https://www.diodes.com/datasheet/download/DMNH4005SPSWQ.pdf" TargetMode="External"/><Relationship Id="rId_hyperlink_1584" Type="http://schemas.openxmlformats.org/officeDocument/2006/relationships/hyperlink" Target="https://www.diodes.com/part/view/DMNH4005SPSWQ" TargetMode="External"/><Relationship Id="rId_hyperlink_1585" Type="http://schemas.openxmlformats.org/officeDocument/2006/relationships/hyperlink" Target="https://www.diodes.com/datasheet/download/DMNH4006SK3.pdf" TargetMode="External"/><Relationship Id="rId_hyperlink_1586" Type="http://schemas.openxmlformats.org/officeDocument/2006/relationships/hyperlink" Target="https://www.diodes.com/part/view/DMNH4006SK3" TargetMode="External"/><Relationship Id="rId_hyperlink_1587" Type="http://schemas.openxmlformats.org/officeDocument/2006/relationships/hyperlink" Target="https://www.diodes.com/datasheet/download/DMNH4006SK3Q.pdf" TargetMode="External"/><Relationship Id="rId_hyperlink_1588" Type="http://schemas.openxmlformats.org/officeDocument/2006/relationships/hyperlink" Target="https://www.diodes.com/part/view/DMNH4006SK3Q" TargetMode="External"/><Relationship Id="rId_hyperlink_1589" Type="http://schemas.openxmlformats.org/officeDocument/2006/relationships/hyperlink" Target="https://www.diodes.com/datasheet/download/DMNH4006SPS.pdf" TargetMode="External"/><Relationship Id="rId_hyperlink_1590" Type="http://schemas.openxmlformats.org/officeDocument/2006/relationships/hyperlink" Target="https://www.diodes.com/part/view/DMNH4006SPS" TargetMode="External"/><Relationship Id="rId_hyperlink_1591" Type="http://schemas.openxmlformats.org/officeDocument/2006/relationships/hyperlink" Target="https://www.diodes.com/datasheet/download/DMNH4006SPSQ.pdf" TargetMode="External"/><Relationship Id="rId_hyperlink_1592" Type="http://schemas.openxmlformats.org/officeDocument/2006/relationships/hyperlink" Target="https://www.diodes.com/part/view/DMNH4006SPSQ" TargetMode="External"/><Relationship Id="rId_hyperlink_1593" Type="http://schemas.openxmlformats.org/officeDocument/2006/relationships/hyperlink" Target="https://www.diodes.com/datasheet/download/DMNH4006SPSWQ.pdf" TargetMode="External"/><Relationship Id="rId_hyperlink_1594" Type="http://schemas.openxmlformats.org/officeDocument/2006/relationships/hyperlink" Target="https://www.diodes.com/part/view/DMNH4006SPSWQ" TargetMode="External"/><Relationship Id="rId_hyperlink_1595" Type="http://schemas.openxmlformats.org/officeDocument/2006/relationships/hyperlink" Target="https://www.diodes.com/datasheet/download/DMNH4011SK3Q.pdf" TargetMode="External"/><Relationship Id="rId_hyperlink_1596" Type="http://schemas.openxmlformats.org/officeDocument/2006/relationships/hyperlink" Target="https://www.diodes.com/part/view/DMNH4011SK3Q" TargetMode="External"/><Relationship Id="rId_hyperlink_1597" Type="http://schemas.openxmlformats.org/officeDocument/2006/relationships/hyperlink" Target="https://www.diodes.com/datasheet/download/DMNH4011SPS.pdf" TargetMode="External"/><Relationship Id="rId_hyperlink_1598" Type="http://schemas.openxmlformats.org/officeDocument/2006/relationships/hyperlink" Target="https://www.diodes.com/part/view/DMNH4011SPS" TargetMode="External"/><Relationship Id="rId_hyperlink_1599" Type="http://schemas.openxmlformats.org/officeDocument/2006/relationships/hyperlink" Target="https://www.diodes.com/datasheet/download/DMNH4011SPSQ.pdf" TargetMode="External"/><Relationship Id="rId_hyperlink_1600" Type="http://schemas.openxmlformats.org/officeDocument/2006/relationships/hyperlink" Target="https://www.diodes.com/part/view/DMNH4011SPSQ" TargetMode="External"/><Relationship Id="rId_hyperlink_1601" Type="http://schemas.openxmlformats.org/officeDocument/2006/relationships/hyperlink" Target="https://www.diodes.com/datasheet/download/DMNH4011SPSWQ.pdf" TargetMode="External"/><Relationship Id="rId_hyperlink_1602" Type="http://schemas.openxmlformats.org/officeDocument/2006/relationships/hyperlink" Target="https://www.diodes.com/part/view/DMNH4011SPSWQ" TargetMode="External"/><Relationship Id="rId_hyperlink_1603" Type="http://schemas.openxmlformats.org/officeDocument/2006/relationships/hyperlink" Target="https://www.diodes.com/datasheet/download/DMNH4015SSD.pdf" TargetMode="External"/><Relationship Id="rId_hyperlink_1604" Type="http://schemas.openxmlformats.org/officeDocument/2006/relationships/hyperlink" Target="https://www.diodes.com/part/view/DMNH4015SSD" TargetMode="External"/><Relationship Id="rId_hyperlink_1605" Type="http://schemas.openxmlformats.org/officeDocument/2006/relationships/hyperlink" Target="https://www.diodes.com/datasheet/download/DMNH4015SSDQ.pdf" TargetMode="External"/><Relationship Id="rId_hyperlink_1606" Type="http://schemas.openxmlformats.org/officeDocument/2006/relationships/hyperlink" Target="https://www.diodes.com/part/view/DMNH4015SSDQ" TargetMode="External"/><Relationship Id="rId_hyperlink_1607" Type="http://schemas.openxmlformats.org/officeDocument/2006/relationships/hyperlink" Target="https://www.diodes.com/datasheet/download/DMNH4026SSD.pdf" TargetMode="External"/><Relationship Id="rId_hyperlink_1608" Type="http://schemas.openxmlformats.org/officeDocument/2006/relationships/hyperlink" Target="https://www.diodes.com/part/view/DMNH4026SSD" TargetMode="External"/><Relationship Id="rId_hyperlink_1609" Type="http://schemas.openxmlformats.org/officeDocument/2006/relationships/hyperlink" Target="https://www.diodes.com/datasheet/download/DMNH4026SSDQ.pdf" TargetMode="External"/><Relationship Id="rId_hyperlink_1610" Type="http://schemas.openxmlformats.org/officeDocument/2006/relationships/hyperlink" Target="https://www.diodes.com/part/view/DMNH4026SSDQ" TargetMode="External"/><Relationship Id="rId_hyperlink_1611" Type="http://schemas.openxmlformats.org/officeDocument/2006/relationships/hyperlink" Target="https://www.diodes.com/datasheet/download/DMNH45M7SCT.pdf" TargetMode="External"/><Relationship Id="rId_hyperlink_1612" Type="http://schemas.openxmlformats.org/officeDocument/2006/relationships/hyperlink" Target="https://www.diodes.com/part/view/DMNH45M7SCT" TargetMode="External"/><Relationship Id="rId_hyperlink_1613" Type="http://schemas.openxmlformats.org/officeDocument/2006/relationships/hyperlink" Target="https://www.diodes.com/datasheet/download/DMNH6008SCT.pdf" TargetMode="External"/><Relationship Id="rId_hyperlink_1614" Type="http://schemas.openxmlformats.org/officeDocument/2006/relationships/hyperlink" Target="https://www.diodes.com/part/view/DMNH6008SCT" TargetMode="External"/><Relationship Id="rId_hyperlink_1615" Type="http://schemas.openxmlformats.org/officeDocument/2006/relationships/hyperlink" Target="https://www.diodes.com/datasheet/download/DMNH6008SCTQ.pdf" TargetMode="External"/><Relationship Id="rId_hyperlink_1616" Type="http://schemas.openxmlformats.org/officeDocument/2006/relationships/hyperlink" Target="https://www.diodes.com/part/view/DMNH6008SCTQ" TargetMode="External"/><Relationship Id="rId_hyperlink_1617" Type="http://schemas.openxmlformats.org/officeDocument/2006/relationships/hyperlink" Target="https://www.diodes.com/datasheet/download/DMNH6008SPS.pdf" TargetMode="External"/><Relationship Id="rId_hyperlink_1618" Type="http://schemas.openxmlformats.org/officeDocument/2006/relationships/hyperlink" Target="https://www.diodes.com/part/view/DMNH6008SPS" TargetMode="External"/><Relationship Id="rId_hyperlink_1619" Type="http://schemas.openxmlformats.org/officeDocument/2006/relationships/hyperlink" Target="https://www.diodes.com/datasheet/download/DMNH6008SPSQ.pdf" TargetMode="External"/><Relationship Id="rId_hyperlink_1620" Type="http://schemas.openxmlformats.org/officeDocument/2006/relationships/hyperlink" Target="https://www.diodes.com/part/view/DMNH6008SPSQ" TargetMode="External"/><Relationship Id="rId_hyperlink_1621" Type="http://schemas.openxmlformats.org/officeDocument/2006/relationships/hyperlink" Target="https://www.diodes.com/datasheet/download/DMNH6008SPSW.pdf" TargetMode="External"/><Relationship Id="rId_hyperlink_1622" Type="http://schemas.openxmlformats.org/officeDocument/2006/relationships/hyperlink" Target="https://www.diodes.com/part/view/DMNH6008SPSW" TargetMode="External"/><Relationship Id="rId_hyperlink_1623" Type="http://schemas.openxmlformats.org/officeDocument/2006/relationships/hyperlink" Target="https://www.diodes.com/datasheet/download/DMNH6008SPSWQ.pdf" TargetMode="External"/><Relationship Id="rId_hyperlink_1624" Type="http://schemas.openxmlformats.org/officeDocument/2006/relationships/hyperlink" Target="https://www.diodes.com/part/view/DMNH6008SPSWQ" TargetMode="External"/><Relationship Id="rId_hyperlink_1625" Type="http://schemas.openxmlformats.org/officeDocument/2006/relationships/hyperlink" Target="https://www.diodes.com/datasheet/download/DMNH6009SPS.pdf" TargetMode="External"/><Relationship Id="rId_hyperlink_1626" Type="http://schemas.openxmlformats.org/officeDocument/2006/relationships/hyperlink" Target="https://www.diodes.com/part/view/DMNH6009SPS" TargetMode="External"/><Relationship Id="rId_hyperlink_1627" Type="http://schemas.openxmlformats.org/officeDocument/2006/relationships/hyperlink" Target="https://www.diodes.com/datasheet/download/DMNH6009SPSW.pdf" TargetMode="External"/><Relationship Id="rId_hyperlink_1628" Type="http://schemas.openxmlformats.org/officeDocument/2006/relationships/hyperlink" Target="https://www.diodes.com/part/view/DMNH6009SPSW" TargetMode="External"/><Relationship Id="rId_hyperlink_1629" Type="http://schemas.openxmlformats.org/officeDocument/2006/relationships/hyperlink" Target="https://www.diodes.com/datasheet/download/DMNH6010SCTB.pdf" TargetMode="External"/><Relationship Id="rId_hyperlink_1630" Type="http://schemas.openxmlformats.org/officeDocument/2006/relationships/hyperlink" Target="https://www.diodes.com/part/view/DMNH6010SCTB" TargetMode="External"/><Relationship Id="rId_hyperlink_1631" Type="http://schemas.openxmlformats.org/officeDocument/2006/relationships/hyperlink" Target="https://www.diodes.com/datasheet/download/DMNH6010SCTBQ.pdf" TargetMode="External"/><Relationship Id="rId_hyperlink_1632" Type="http://schemas.openxmlformats.org/officeDocument/2006/relationships/hyperlink" Target="https://www.diodes.com/part/view/DMNH6010SCTBQ" TargetMode="External"/><Relationship Id="rId_hyperlink_1633" Type="http://schemas.openxmlformats.org/officeDocument/2006/relationships/hyperlink" Target="https://www.diodes.com/datasheet/download/DMNH6011LK3.pdf" TargetMode="External"/><Relationship Id="rId_hyperlink_1634" Type="http://schemas.openxmlformats.org/officeDocument/2006/relationships/hyperlink" Target="https://www.diodes.com/part/view/DMNH6011LK3" TargetMode="External"/><Relationship Id="rId_hyperlink_1635" Type="http://schemas.openxmlformats.org/officeDocument/2006/relationships/hyperlink" Target="https://www.diodes.com/datasheet/download/DMNH6011LK3Q.pdf" TargetMode="External"/><Relationship Id="rId_hyperlink_1636" Type="http://schemas.openxmlformats.org/officeDocument/2006/relationships/hyperlink" Target="https://www.diodes.com/part/view/DMNH6011LK3Q" TargetMode="External"/><Relationship Id="rId_hyperlink_1637" Type="http://schemas.openxmlformats.org/officeDocument/2006/relationships/hyperlink" Target="https://www.diodes.com/datasheet/download/DMNH6012LK3.pdf" TargetMode="External"/><Relationship Id="rId_hyperlink_1638" Type="http://schemas.openxmlformats.org/officeDocument/2006/relationships/hyperlink" Target="https://www.diodes.com/part/view/DMNH6012LK3" TargetMode="External"/><Relationship Id="rId_hyperlink_1639" Type="http://schemas.openxmlformats.org/officeDocument/2006/relationships/hyperlink" Target="https://www.diodes.com/datasheet/download/DMNH6012LK3Q.pdf" TargetMode="External"/><Relationship Id="rId_hyperlink_1640" Type="http://schemas.openxmlformats.org/officeDocument/2006/relationships/hyperlink" Target="https://www.diodes.com/part/view/DMNH6012LK3Q" TargetMode="External"/><Relationship Id="rId_hyperlink_1641" Type="http://schemas.openxmlformats.org/officeDocument/2006/relationships/hyperlink" Target="https://www.diodes.com/datasheet/download/DMNH6012SPS.pdf" TargetMode="External"/><Relationship Id="rId_hyperlink_1642" Type="http://schemas.openxmlformats.org/officeDocument/2006/relationships/hyperlink" Target="https://www.diodes.com/part/view/DMNH6012SPS" TargetMode="External"/><Relationship Id="rId_hyperlink_1643" Type="http://schemas.openxmlformats.org/officeDocument/2006/relationships/hyperlink" Target="https://www.diodes.com/datasheet/download/DMNH6012SPSQ.pdf" TargetMode="External"/><Relationship Id="rId_hyperlink_1644" Type="http://schemas.openxmlformats.org/officeDocument/2006/relationships/hyperlink" Target="https://www.diodes.com/part/view/DMNH6012SPSQ" TargetMode="External"/><Relationship Id="rId_hyperlink_1645" Type="http://schemas.openxmlformats.org/officeDocument/2006/relationships/hyperlink" Target="https://www.diodes.com/datasheet/download/DMNH6012SPSW.pdf" TargetMode="External"/><Relationship Id="rId_hyperlink_1646" Type="http://schemas.openxmlformats.org/officeDocument/2006/relationships/hyperlink" Target="https://www.diodes.com/part/view/DMNH6012SPSW" TargetMode="External"/><Relationship Id="rId_hyperlink_1647" Type="http://schemas.openxmlformats.org/officeDocument/2006/relationships/hyperlink" Target="https://www.diodes.com/datasheet/download/DMNH6012SPSWQ.pdf" TargetMode="External"/><Relationship Id="rId_hyperlink_1648" Type="http://schemas.openxmlformats.org/officeDocument/2006/relationships/hyperlink" Target="https://www.diodes.com/part/view/DMNH6012SPSWQ" TargetMode="External"/><Relationship Id="rId_hyperlink_1649" Type="http://schemas.openxmlformats.org/officeDocument/2006/relationships/hyperlink" Target="https://www.diodes.com/datasheet/download/DMNH6021SK3.pdf" TargetMode="External"/><Relationship Id="rId_hyperlink_1650" Type="http://schemas.openxmlformats.org/officeDocument/2006/relationships/hyperlink" Target="https://www.diodes.com/part/view/DMNH6021SK3" TargetMode="External"/><Relationship Id="rId_hyperlink_1651" Type="http://schemas.openxmlformats.org/officeDocument/2006/relationships/hyperlink" Target="https://www.diodes.com/datasheet/download/DMNH6021SK3Q.pdf" TargetMode="External"/><Relationship Id="rId_hyperlink_1652" Type="http://schemas.openxmlformats.org/officeDocument/2006/relationships/hyperlink" Target="https://www.diodes.com/part/view/DMNH6021SK3Q" TargetMode="External"/><Relationship Id="rId_hyperlink_1653" Type="http://schemas.openxmlformats.org/officeDocument/2006/relationships/hyperlink" Target="https://www.diodes.com/datasheet/download/DMNH6021SPD.pdf" TargetMode="External"/><Relationship Id="rId_hyperlink_1654" Type="http://schemas.openxmlformats.org/officeDocument/2006/relationships/hyperlink" Target="https://www.diodes.com/part/view/DMNH6021SPD" TargetMode="External"/><Relationship Id="rId_hyperlink_1655" Type="http://schemas.openxmlformats.org/officeDocument/2006/relationships/hyperlink" Target="https://www.diodes.com/datasheet/download/DMNH6021SPDQ.pdf" TargetMode="External"/><Relationship Id="rId_hyperlink_1656" Type="http://schemas.openxmlformats.org/officeDocument/2006/relationships/hyperlink" Target="https://www.diodes.com/part/view/DMNH6021SPDQ" TargetMode="External"/><Relationship Id="rId_hyperlink_1657" Type="http://schemas.openxmlformats.org/officeDocument/2006/relationships/hyperlink" Target="https://www.diodes.com/datasheet/download/DMNH6021SPDW.pdf" TargetMode="External"/><Relationship Id="rId_hyperlink_1658" Type="http://schemas.openxmlformats.org/officeDocument/2006/relationships/hyperlink" Target="https://www.diodes.com/part/view/DMNH6021SPDW" TargetMode="External"/><Relationship Id="rId_hyperlink_1659" Type="http://schemas.openxmlformats.org/officeDocument/2006/relationships/hyperlink" Target="https://www.diodes.com/datasheet/download/DMNH6021SPDWQ.pdf" TargetMode="External"/><Relationship Id="rId_hyperlink_1660" Type="http://schemas.openxmlformats.org/officeDocument/2006/relationships/hyperlink" Target="https://www.diodes.com/part/view/DMNH6021SPDWQ" TargetMode="External"/><Relationship Id="rId_hyperlink_1661" Type="http://schemas.openxmlformats.org/officeDocument/2006/relationships/hyperlink" Target="https://www.diodes.com/datasheet/download/DMNH6021SPS.pdf" TargetMode="External"/><Relationship Id="rId_hyperlink_1662" Type="http://schemas.openxmlformats.org/officeDocument/2006/relationships/hyperlink" Target="https://www.diodes.com/part/view/DMNH6021SPS" TargetMode="External"/><Relationship Id="rId_hyperlink_1663" Type="http://schemas.openxmlformats.org/officeDocument/2006/relationships/hyperlink" Target="https://www.diodes.com/datasheet/download/DMNH6021SPSQ.pdf" TargetMode="External"/><Relationship Id="rId_hyperlink_1664" Type="http://schemas.openxmlformats.org/officeDocument/2006/relationships/hyperlink" Target="https://www.diodes.com/part/view/DMNH6021SPSQ" TargetMode="External"/><Relationship Id="rId_hyperlink_1665" Type="http://schemas.openxmlformats.org/officeDocument/2006/relationships/hyperlink" Target="https://www.diodes.com/datasheet/download/DMNH6021SPSW.pdf" TargetMode="External"/><Relationship Id="rId_hyperlink_1666" Type="http://schemas.openxmlformats.org/officeDocument/2006/relationships/hyperlink" Target="https://www.diodes.com/part/view/DMNH6021SPSW" TargetMode="External"/><Relationship Id="rId_hyperlink_1667" Type="http://schemas.openxmlformats.org/officeDocument/2006/relationships/hyperlink" Target="https://www.diodes.com/datasheet/download/DMNH6021SPSWQ.pdf" TargetMode="External"/><Relationship Id="rId_hyperlink_1668" Type="http://schemas.openxmlformats.org/officeDocument/2006/relationships/hyperlink" Target="https://www.diodes.com/part/view/DMNH6021SPSWQ" TargetMode="External"/><Relationship Id="rId_hyperlink_1669" Type="http://schemas.openxmlformats.org/officeDocument/2006/relationships/hyperlink" Target="https://www.diodes.com/datasheet/download/DMNH6022SSD.pdf" TargetMode="External"/><Relationship Id="rId_hyperlink_1670" Type="http://schemas.openxmlformats.org/officeDocument/2006/relationships/hyperlink" Target="https://www.diodes.com/part/view/DMNH6022SSD" TargetMode="External"/><Relationship Id="rId_hyperlink_1671" Type="http://schemas.openxmlformats.org/officeDocument/2006/relationships/hyperlink" Target="https://www.diodes.com/datasheet/download/DMNH6022SSDQ.pdf" TargetMode="External"/><Relationship Id="rId_hyperlink_1672" Type="http://schemas.openxmlformats.org/officeDocument/2006/relationships/hyperlink" Target="https://www.diodes.com/part/view/DMNH6022SSDQ" TargetMode="External"/><Relationship Id="rId_hyperlink_1673" Type="http://schemas.openxmlformats.org/officeDocument/2006/relationships/hyperlink" Target="https://www.diodes.com/datasheet/download/DMNH6035SPDW.pdf" TargetMode="External"/><Relationship Id="rId_hyperlink_1674" Type="http://schemas.openxmlformats.org/officeDocument/2006/relationships/hyperlink" Target="https://www.diodes.com/part/view/DMNH6035SPDW" TargetMode="External"/><Relationship Id="rId_hyperlink_1675" Type="http://schemas.openxmlformats.org/officeDocument/2006/relationships/hyperlink" Target="https://www.diodes.com/datasheet/download/DMNH6035SPDWQ.pdf" TargetMode="External"/><Relationship Id="rId_hyperlink_1676" Type="http://schemas.openxmlformats.org/officeDocument/2006/relationships/hyperlink" Target="https://www.diodes.com/part/view/DMNH6035SPDWQ" TargetMode="External"/><Relationship Id="rId_hyperlink_1677" Type="http://schemas.openxmlformats.org/officeDocument/2006/relationships/hyperlink" Target="https://www.diodes.com/datasheet/download/DMNH6042SK3.pdf" TargetMode="External"/><Relationship Id="rId_hyperlink_1678" Type="http://schemas.openxmlformats.org/officeDocument/2006/relationships/hyperlink" Target="https://www.diodes.com/part/view/DMNH6042SK3" TargetMode="External"/><Relationship Id="rId_hyperlink_1679" Type="http://schemas.openxmlformats.org/officeDocument/2006/relationships/hyperlink" Target="https://www.diodes.com/datasheet/download/DMNH6042SK3Q.pdf" TargetMode="External"/><Relationship Id="rId_hyperlink_1680" Type="http://schemas.openxmlformats.org/officeDocument/2006/relationships/hyperlink" Target="https://www.diodes.com/part/view/DMNH6042SK3Q" TargetMode="External"/><Relationship Id="rId_hyperlink_1681" Type="http://schemas.openxmlformats.org/officeDocument/2006/relationships/hyperlink" Target="https://www.diodes.com/datasheet/download/DMNH6042SPD.pdf" TargetMode="External"/><Relationship Id="rId_hyperlink_1682" Type="http://schemas.openxmlformats.org/officeDocument/2006/relationships/hyperlink" Target="https://www.diodes.com/part/view/DMNH6042SPD" TargetMode="External"/><Relationship Id="rId_hyperlink_1683" Type="http://schemas.openxmlformats.org/officeDocument/2006/relationships/hyperlink" Target="https://www.diodes.com/datasheet/download/DMNH6042SPDQ.pdf" TargetMode="External"/><Relationship Id="rId_hyperlink_1684" Type="http://schemas.openxmlformats.org/officeDocument/2006/relationships/hyperlink" Target="https://www.diodes.com/part/view/DMNH6042SPDQ" TargetMode="External"/><Relationship Id="rId_hyperlink_1685" Type="http://schemas.openxmlformats.org/officeDocument/2006/relationships/hyperlink" Target="https://www.diodes.com/datasheet/download/DMNH6042SPS.pdf" TargetMode="External"/><Relationship Id="rId_hyperlink_1686" Type="http://schemas.openxmlformats.org/officeDocument/2006/relationships/hyperlink" Target="https://www.diodes.com/part/view/DMNH6042SPS" TargetMode="External"/><Relationship Id="rId_hyperlink_1687" Type="http://schemas.openxmlformats.org/officeDocument/2006/relationships/hyperlink" Target="https://www.diodes.com/datasheet/download/DMNH6042SPSQ.pdf" TargetMode="External"/><Relationship Id="rId_hyperlink_1688" Type="http://schemas.openxmlformats.org/officeDocument/2006/relationships/hyperlink" Target="https://www.diodes.com/part/view/DMNH6042SPSQ" TargetMode="External"/><Relationship Id="rId_hyperlink_1689" Type="http://schemas.openxmlformats.org/officeDocument/2006/relationships/hyperlink" Target="https://www.diodes.com/datasheet/download/DMNH6042SPSW.pdf" TargetMode="External"/><Relationship Id="rId_hyperlink_1690" Type="http://schemas.openxmlformats.org/officeDocument/2006/relationships/hyperlink" Target="https://www.diodes.com/part/view/DMNH6042SPSW" TargetMode="External"/><Relationship Id="rId_hyperlink_1691" Type="http://schemas.openxmlformats.org/officeDocument/2006/relationships/hyperlink" Target="https://www.diodes.com/datasheet/download/DMNH6042SPSWQ.pdf" TargetMode="External"/><Relationship Id="rId_hyperlink_1692" Type="http://schemas.openxmlformats.org/officeDocument/2006/relationships/hyperlink" Target="https://www.diodes.com/part/view/DMNH6042SPSWQ" TargetMode="External"/><Relationship Id="rId_hyperlink_1693" Type="http://schemas.openxmlformats.org/officeDocument/2006/relationships/hyperlink" Target="https://www.diodes.com/datasheet/download/DMNH6042SSD.pdf" TargetMode="External"/><Relationship Id="rId_hyperlink_1694" Type="http://schemas.openxmlformats.org/officeDocument/2006/relationships/hyperlink" Target="https://www.diodes.com/part/view/DMNH6042SSD" TargetMode="External"/><Relationship Id="rId_hyperlink_1695" Type="http://schemas.openxmlformats.org/officeDocument/2006/relationships/hyperlink" Target="https://www.diodes.com/datasheet/download/DMNH6042SSDQ.pdf" TargetMode="External"/><Relationship Id="rId_hyperlink_1696" Type="http://schemas.openxmlformats.org/officeDocument/2006/relationships/hyperlink" Target="https://www.diodes.com/part/view/DMNH6042SSDQ" TargetMode="External"/><Relationship Id="rId_hyperlink_1697" Type="http://schemas.openxmlformats.org/officeDocument/2006/relationships/hyperlink" Target="https://www.diodes.com/datasheet/download/DMNH6065SPDW.pdf" TargetMode="External"/><Relationship Id="rId_hyperlink_1698" Type="http://schemas.openxmlformats.org/officeDocument/2006/relationships/hyperlink" Target="https://www.diodes.com/part/view/DMNH6065SPDW" TargetMode="External"/><Relationship Id="rId_hyperlink_1699" Type="http://schemas.openxmlformats.org/officeDocument/2006/relationships/hyperlink" Target="https://www.diodes.com/datasheet/download/DMNH6065SPDWQ.pdf" TargetMode="External"/><Relationship Id="rId_hyperlink_1700" Type="http://schemas.openxmlformats.org/officeDocument/2006/relationships/hyperlink" Target="https://www.diodes.com/part/view/DMNH6065SPDWQ" TargetMode="External"/><Relationship Id="rId_hyperlink_1701" Type="http://schemas.openxmlformats.org/officeDocument/2006/relationships/hyperlink" Target="https://www.diodes.com/datasheet/download/DMNH6065SSD.pdf" TargetMode="External"/><Relationship Id="rId_hyperlink_1702" Type="http://schemas.openxmlformats.org/officeDocument/2006/relationships/hyperlink" Target="https://www.diodes.com/part/view/DMNH6065SSD" TargetMode="External"/><Relationship Id="rId_hyperlink_1703" Type="http://schemas.openxmlformats.org/officeDocument/2006/relationships/hyperlink" Target="https://www.diodes.com/datasheet/download/DMNH6065SSDQ.pdf" TargetMode="External"/><Relationship Id="rId_hyperlink_1704" Type="http://schemas.openxmlformats.org/officeDocument/2006/relationships/hyperlink" Target="https://www.diodes.com/part/view/DMNH6065SSDQ" TargetMode="External"/><Relationship Id="rId_hyperlink_1705" Type="http://schemas.openxmlformats.org/officeDocument/2006/relationships/hyperlink" Target="https://www.diodes.com/datasheet/download/DMNH6069SFVW.pdf" TargetMode="External"/><Relationship Id="rId_hyperlink_1706" Type="http://schemas.openxmlformats.org/officeDocument/2006/relationships/hyperlink" Target="https://www.diodes.com/part/view/DMNH6069SFVW" TargetMode="External"/><Relationship Id="rId_hyperlink_1707" Type="http://schemas.openxmlformats.org/officeDocument/2006/relationships/hyperlink" Target="https://www.diodes.com/datasheet/download/DMNH6069SFVWQ.pdf" TargetMode="External"/><Relationship Id="rId_hyperlink_1708" Type="http://schemas.openxmlformats.org/officeDocument/2006/relationships/hyperlink" Target="https://www.diodes.com/part/view/DMNH6069SFVWQ" TargetMode="External"/><Relationship Id="rId_hyperlink_1709" Type="http://schemas.openxmlformats.org/officeDocument/2006/relationships/hyperlink" Target="https://www.diodes.com/datasheet/download/DMP1005UFDF.pdf" TargetMode="External"/><Relationship Id="rId_hyperlink_1710" Type="http://schemas.openxmlformats.org/officeDocument/2006/relationships/hyperlink" Target="https://www.diodes.com/part/view/DMP1005UFDF" TargetMode="External"/><Relationship Id="rId_hyperlink_1711" Type="http://schemas.openxmlformats.org/officeDocument/2006/relationships/hyperlink" Target="https://www.diodes.com/datasheet/download/DMP1007UCB9.pdf" TargetMode="External"/><Relationship Id="rId_hyperlink_1712" Type="http://schemas.openxmlformats.org/officeDocument/2006/relationships/hyperlink" Target="https://www.diodes.com/part/view/DMP1007UCB9" TargetMode="External"/><Relationship Id="rId_hyperlink_1713" Type="http://schemas.openxmlformats.org/officeDocument/2006/relationships/hyperlink" Target="https://www.diodes.com/datasheet/download/DMP1008UCA9.pdf" TargetMode="External"/><Relationship Id="rId_hyperlink_1714" Type="http://schemas.openxmlformats.org/officeDocument/2006/relationships/hyperlink" Target="https://www.diodes.com/part/view/DMP1008UCA9" TargetMode="External"/><Relationship Id="rId_hyperlink_1715" Type="http://schemas.openxmlformats.org/officeDocument/2006/relationships/hyperlink" Target="https://www.diodes.com/datasheet/download/DMP1008UCB9.pdf" TargetMode="External"/><Relationship Id="rId_hyperlink_1716" Type="http://schemas.openxmlformats.org/officeDocument/2006/relationships/hyperlink" Target="https://www.diodes.com/part/view/DMP1008UCB9" TargetMode="External"/><Relationship Id="rId_hyperlink_1717" Type="http://schemas.openxmlformats.org/officeDocument/2006/relationships/hyperlink" Target="https://www.diodes.com/datasheet/download/DMP1009UFDF.pdf" TargetMode="External"/><Relationship Id="rId_hyperlink_1718" Type="http://schemas.openxmlformats.org/officeDocument/2006/relationships/hyperlink" Target="https://www.diodes.com/part/view/DMP1009UFDF" TargetMode="External"/><Relationship Id="rId_hyperlink_1719" Type="http://schemas.openxmlformats.org/officeDocument/2006/relationships/hyperlink" Target="https://www.diodes.com/datasheet/download/DMP1009UFDFQ.pdf" TargetMode="External"/><Relationship Id="rId_hyperlink_1720" Type="http://schemas.openxmlformats.org/officeDocument/2006/relationships/hyperlink" Target="https://www.diodes.com/part/view/DMP1009UFDFQ" TargetMode="External"/><Relationship Id="rId_hyperlink_1721" Type="http://schemas.openxmlformats.org/officeDocument/2006/relationships/hyperlink" Target="https://www.diodes.com/datasheet/download/DMP1010UCA4.pdf" TargetMode="External"/><Relationship Id="rId_hyperlink_1722" Type="http://schemas.openxmlformats.org/officeDocument/2006/relationships/hyperlink" Target="https://www.diodes.com/part/view/DMP1010UCA4" TargetMode="External"/><Relationship Id="rId_hyperlink_1723" Type="http://schemas.openxmlformats.org/officeDocument/2006/relationships/hyperlink" Target="https://www.diodes.com/datasheet/download/DMP1011LFV.pdf" TargetMode="External"/><Relationship Id="rId_hyperlink_1724" Type="http://schemas.openxmlformats.org/officeDocument/2006/relationships/hyperlink" Target="https://www.diodes.com/part/view/DMP1011LFV" TargetMode="External"/><Relationship Id="rId_hyperlink_1725" Type="http://schemas.openxmlformats.org/officeDocument/2006/relationships/hyperlink" Target="https://www.diodes.com/datasheet/download/DMP1011LFVQ.pdf" TargetMode="External"/><Relationship Id="rId_hyperlink_1726" Type="http://schemas.openxmlformats.org/officeDocument/2006/relationships/hyperlink" Target="https://www.diodes.com/part/view/DMP1011LFVQ" TargetMode="External"/><Relationship Id="rId_hyperlink_1727" Type="http://schemas.openxmlformats.org/officeDocument/2006/relationships/hyperlink" Target="https://www.diodes.com/datasheet/download/DMP1011UCB9.pdf" TargetMode="External"/><Relationship Id="rId_hyperlink_1728" Type="http://schemas.openxmlformats.org/officeDocument/2006/relationships/hyperlink" Target="https://www.diodes.com/part/view/DMP1011UCB9" TargetMode="External"/><Relationship Id="rId_hyperlink_1729" Type="http://schemas.openxmlformats.org/officeDocument/2006/relationships/hyperlink" Target="https://www.diodes.com/datasheet/download/DMP1012UFDF.pdf" TargetMode="External"/><Relationship Id="rId_hyperlink_1730" Type="http://schemas.openxmlformats.org/officeDocument/2006/relationships/hyperlink" Target="https://www.diodes.com/part/view/DMP1012UFDF" TargetMode="External"/><Relationship Id="rId_hyperlink_1731" Type="http://schemas.openxmlformats.org/officeDocument/2006/relationships/hyperlink" Target="https://www.diodes.com/datasheet/download/DMP1012USS.pdf" TargetMode="External"/><Relationship Id="rId_hyperlink_1732" Type="http://schemas.openxmlformats.org/officeDocument/2006/relationships/hyperlink" Target="https://www.diodes.com/part/view/DMP1012USS" TargetMode="External"/><Relationship Id="rId_hyperlink_1733" Type="http://schemas.openxmlformats.org/officeDocument/2006/relationships/hyperlink" Target="https://www.diodes.com/datasheet/download/DMP1012USSQ.pdf" TargetMode="External"/><Relationship Id="rId_hyperlink_1734" Type="http://schemas.openxmlformats.org/officeDocument/2006/relationships/hyperlink" Target="https://www.diodes.com/part/view/DMP1012USSQ" TargetMode="External"/><Relationship Id="rId_hyperlink_1735" Type="http://schemas.openxmlformats.org/officeDocument/2006/relationships/hyperlink" Target="https://www.diodes.com/datasheet/download/DMP1022UFDEQ+.pdf" TargetMode="External"/><Relationship Id="rId_hyperlink_1736" Type="http://schemas.openxmlformats.org/officeDocument/2006/relationships/hyperlink" Target="https://www.diodes.com/part/view/DMP1022UFDEQ" TargetMode="External"/><Relationship Id="rId_hyperlink_1737" Type="http://schemas.openxmlformats.org/officeDocument/2006/relationships/hyperlink" Target="https://www.diodes.com/datasheet/download/DMP1022UFDF.pdf" TargetMode="External"/><Relationship Id="rId_hyperlink_1738" Type="http://schemas.openxmlformats.org/officeDocument/2006/relationships/hyperlink" Target="https://www.diodes.com/part/view/DMP1022UFDF" TargetMode="External"/><Relationship Id="rId_hyperlink_1739" Type="http://schemas.openxmlformats.org/officeDocument/2006/relationships/hyperlink" Target="https://www.diodes.com/datasheet/download/DMP1022UWS.pdf" TargetMode="External"/><Relationship Id="rId_hyperlink_1740" Type="http://schemas.openxmlformats.org/officeDocument/2006/relationships/hyperlink" Target="https://www.diodes.com/part/view/DMP1022UWS" TargetMode="External"/><Relationship Id="rId_hyperlink_1741" Type="http://schemas.openxmlformats.org/officeDocument/2006/relationships/hyperlink" Target="https://www.diodes.com/datasheet/download/DMP1045U.pdf" TargetMode="External"/><Relationship Id="rId_hyperlink_1742" Type="http://schemas.openxmlformats.org/officeDocument/2006/relationships/hyperlink" Target="https://www.diodes.com/part/view/DMP1045U" TargetMode="External"/><Relationship Id="rId_hyperlink_1743" Type="http://schemas.openxmlformats.org/officeDocument/2006/relationships/hyperlink" Target="https://www.diodes.com/datasheet/download/DMP1045UCB4.pdf" TargetMode="External"/><Relationship Id="rId_hyperlink_1744" Type="http://schemas.openxmlformats.org/officeDocument/2006/relationships/hyperlink" Target="https://www.diodes.com/part/view/DMP1045UCB4" TargetMode="External"/><Relationship Id="rId_hyperlink_1745" Type="http://schemas.openxmlformats.org/officeDocument/2006/relationships/hyperlink" Target="https://www.diodes.com/datasheet/download/DMP1045UFY4.pdf" TargetMode="External"/><Relationship Id="rId_hyperlink_1746" Type="http://schemas.openxmlformats.org/officeDocument/2006/relationships/hyperlink" Target="https://www.diodes.com/part/view/DMP1045UFY4" TargetMode="External"/><Relationship Id="rId_hyperlink_1747" Type="http://schemas.openxmlformats.org/officeDocument/2006/relationships/hyperlink" Target="https://www.diodes.com/datasheet/download/DMP1045UQ.pdf" TargetMode="External"/><Relationship Id="rId_hyperlink_1748" Type="http://schemas.openxmlformats.org/officeDocument/2006/relationships/hyperlink" Target="https://www.diodes.com/part/view/DMP1045UQ" TargetMode="External"/><Relationship Id="rId_hyperlink_1749" Type="http://schemas.openxmlformats.org/officeDocument/2006/relationships/hyperlink" Target="https://www.diodes.com/datasheet/download/DMP1046UFDB.pdf" TargetMode="External"/><Relationship Id="rId_hyperlink_1750" Type="http://schemas.openxmlformats.org/officeDocument/2006/relationships/hyperlink" Target="https://www.diodes.com/part/view/DMP1046UFDB" TargetMode="External"/><Relationship Id="rId_hyperlink_1751" Type="http://schemas.openxmlformats.org/officeDocument/2006/relationships/hyperlink" Target="https://www.diodes.com/datasheet/download/DMP1055UFDB.pdf" TargetMode="External"/><Relationship Id="rId_hyperlink_1752" Type="http://schemas.openxmlformats.org/officeDocument/2006/relationships/hyperlink" Target="https://www.diodes.com/part/view/DMP1055UFDB" TargetMode="External"/><Relationship Id="rId_hyperlink_1753" Type="http://schemas.openxmlformats.org/officeDocument/2006/relationships/hyperlink" Target="https://www.diodes.com/datasheet/download/DMP1055USW.pdf" TargetMode="External"/><Relationship Id="rId_hyperlink_1754" Type="http://schemas.openxmlformats.org/officeDocument/2006/relationships/hyperlink" Target="https://www.diodes.com/part/view/DMP1055USW" TargetMode="External"/><Relationship Id="rId_hyperlink_1755" Type="http://schemas.openxmlformats.org/officeDocument/2006/relationships/hyperlink" Target="https://www.diodes.com/datasheet/download/DMP1070U.pdf" TargetMode="External"/><Relationship Id="rId_hyperlink_1756" Type="http://schemas.openxmlformats.org/officeDocument/2006/relationships/hyperlink" Target="https://www.diodes.com/part/view/DMP1070U" TargetMode="External"/><Relationship Id="rId_hyperlink_1757" Type="http://schemas.openxmlformats.org/officeDocument/2006/relationships/hyperlink" Target="https://www.diodes.com/datasheet/download/DMP1070UCA3.pdf" TargetMode="External"/><Relationship Id="rId_hyperlink_1758" Type="http://schemas.openxmlformats.org/officeDocument/2006/relationships/hyperlink" Target="https://www.diodes.com/part/view/DMP1070UCA3" TargetMode="External"/><Relationship Id="rId_hyperlink_1759" Type="http://schemas.openxmlformats.org/officeDocument/2006/relationships/hyperlink" Target="https://www.diodes.com/datasheet/download/DMP1070UFY4.pdf" TargetMode="External"/><Relationship Id="rId_hyperlink_1760" Type="http://schemas.openxmlformats.org/officeDocument/2006/relationships/hyperlink" Target="https://www.diodes.com/part/view/DMP1070UFY4" TargetMode="External"/><Relationship Id="rId_hyperlink_1761" Type="http://schemas.openxmlformats.org/officeDocument/2006/relationships/hyperlink" Target="https://www.diodes.com/datasheet/download/DMP1070UFY4Q.pdf" TargetMode="External"/><Relationship Id="rId_hyperlink_1762" Type="http://schemas.openxmlformats.org/officeDocument/2006/relationships/hyperlink" Target="https://www.diodes.com/part/view/DMP1070UFY4Q" TargetMode="External"/><Relationship Id="rId_hyperlink_1763" Type="http://schemas.openxmlformats.org/officeDocument/2006/relationships/hyperlink" Target="https://www.diodes.com/datasheet/download/DMP1070UQ.pdf" TargetMode="External"/><Relationship Id="rId_hyperlink_1764" Type="http://schemas.openxmlformats.org/officeDocument/2006/relationships/hyperlink" Target="https://www.diodes.com/part/view/DMP1070UQ" TargetMode="External"/><Relationship Id="rId_hyperlink_1765" Type="http://schemas.openxmlformats.org/officeDocument/2006/relationships/hyperlink" Target="https://www.diodes.com/datasheet/download/DMP10H088SPS.pdf" TargetMode="External"/><Relationship Id="rId_hyperlink_1766" Type="http://schemas.openxmlformats.org/officeDocument/2006/relationships/hyperlink" Target="https://www.diodes.com/part/view/DMP10H088SPS" TargetMode="External"/><Relationship Id="rId_hyperlink_1767" Type="http://schemas.openxmlformats.org/officeDocument/2006/relationships/hyperlink" Target="https://www.diodes.com/datasheet/download/DMP10H400SE.pdf" TargetMode="External"/><Relationship Id="rId_hyperlink_1768" Type="http://schemas.openxmlformats.org/officeDocument/2006/relationships/hyperlink" Target="https://www.diodes.com/part/view/DMP10H400SE" TargetMode="External"/><Relationship Id="rId_hyperlink_1769" Type="http://schemas.openxmlformats.org/officeDocument/2006/relationships/hyperlink" Target="https://www.diodes.com/datasheet/download/DMP10H400SEQ.pdf" TargetMode="External"/><Relationship Id="rId_hyperlink_1770" Type="http://schemas.openxmlformats.org/officeDocument/2006/relationships/hyperlink" Target="https://www.diodes.com/part/view/DMP10H400SEQ" TargetMode="External"/><Relationship Id="rId_hyperlink_1771" Type="http://schemas.openxmlformats.org/officeDocument/2006/relationships/hyperlink" Target="https://www.diodes.com/datasheet/download/DMP10H400SK3.pdf" TargetMode="External"/><Relationship Id="rId_hyperlink_1772" Type="http://schemas.openxmlformats.org/officeDocument/2006/relationships/hyperlink" Target="https://www.diodes.com/part/view/DMP10H400SK3" TargetMode="External"/><Relationship Id="rId_hyperlink_1773" Type="http://schemas.openxmlformats.org/officeDocument/2006/relationships/hyperlink" Target="https://www.diodes.com/datasheet/download/DMP10H4D2S.pdf" TargetMode="External"/><Relationship Id="rId_hyperlink_1774" Type="http://schemas.openxmlformats.org/officeDocument/2006/relationships/hyperlink" Target="https://www.diodes.com/part/view/DMP10H4D2S" TargetMode="External"/><Relationship Id="rId_hyperlink_1775" Type="http://schemas.openxmlformats.org/officeDocument/2006/relationships/hyperlink" Target="https://www.diodes.com/datasheet/download/DMP10H4D2SQ.pdf" TargetMode="External"/><Relationship Id="rId_hyperlink_1776" Type="http://schemas.openxmlformats.org/officeDocument/2006/relationships/hyperlink" Target="https://www.diodes.com/part/view/DMP10H4D2SQ" TargetMode="External"/><Relationship Id="rId_hyperlink_1777" Type="http://schemas.openxmlformats.org/officeDocument/2006/relationships/hyperlink" Target="https://www.diodes.com/datasheet/download/DMP1100UCB4.pdf" TargetMode="External"/><Relationship Id="rId_hyperlink_1778" Type="http://schemas.openxmlformats.org/officeDocument/2006/relationships/hyperlink" Target="https://www.diodes.com/part/view/DMP1100UCB4" TargetMode="External"/><Relationship Id="rId_hyperlink_1779" Type="http://schemas.openxmlformats.org/officeDocument/2006/relationships/hyperlink" Target="https://www.diodes.com/datasheet/download/DMP1200UFR4.pdf" TargetMode="External"/><Relationship Id="rId_hyperlink_1780" Type="http://schemas.openxmlformats.org/officeDocument/2006/relationships/hyperlink" Target="https://www.diodes.com/part/view/DMP1200UFR4" TargetMode="External"/><Relationship Id="rId_hyperlink_1781" Type="http://schemas.openxmlformats.org/officeDocument/2006/relationships/hyperlink" Target="https://www.diodes.com/datasheet/download/DMP1245UFCL.pdf" TargetMode="External"/><Relationship Id="rId_hyperlink_1782" Type="http://schemas.openxmlformats.org/officeDocument/2006/relationships/hyperlink" Target="https://www.diodes.com/part/view/DMP1245UFCL" TargetMode="External"/><Relationship Id="rId_hyperlink_1783" Type="http://schemas.openxmlformats.org/officeDocument/2006/relationships/hyperlink" Target="https://www.diodes.com/datasheet/download/DMP1555UFA.pdf" TargetMode="External"/><Relationship Id="rId_hyperlink_1784" Type="http://schemas.openxmlformats.org/officeDocument/2006/relationships/hyperlink" Target="https://www.diodes.com/part/view/DMP1555UFA" TargetMode="External"/><Relationship Id="rId_hyperlink_1785" Type="http://schemas.openxmlformats.org/officeDocument/2006/relationships/hyperlink" Target="https://www.diodes.com/datasheet/download/DMP2002UPS.pdf" TargetMode="External"/><Relationship Id="rId_hyperlink_1786" Type="http://schemas.openxmlformats.org/officeDocument/2006/relationships/hyperlink" Target="https://www.diodes.com/part/view/DMP2002UPS" TargetMode="External"/><Relationship Id="rId_hyperlink_1787" Type="http://schemas.openxmlformats.org/officeDocument/2006/relationships/hyperlink" Target="https://www.diodes.com/datasheet/download/DMP2003UPS.pdf" TargetMode="External"/><Relationship Id="rId_hyperlink_1788" Type="http://schemas.openxmlformats.org/officeDocument/2006/relationships/hyperlink" Target="https://www.diodes.com/part/view/DMP2003UPS" TargetMode="External"/><Relationship Id="rId_hyperlink_1789" Type="http://schemas.openxmlformats.org/officeDocument/2006/relationships/hyperlink" Target="https://www.diodes.com/datasheet/download/DMP2004DMK.pdf" TargetMode="External"/><Relationship Id="rId_hyperlink_1790" Type="http://schemas.openxmlformats.org/officeDocument/2006/relationships/hyperlink" Target="https://www.diodes.com/part/view/DMP2004DMK" TargetMode="External"/><Relationship Id="rId_hyperlink_1791" Type="http://schemas.openxmlformats.org/officeDocument/2006/relationships/hyperlink" Target="https://www.diodes.com/datasheet/download/DMP2004DWK.pdf" TargetMode="External"/><Relationship Id="rId_hyperlink_1792" Type="http://schemas.openxmlformats.org/officeDocument/2006/relationships/hyperlink" Target="https://www.diodes.com/part/view/DMP2004DWK" TargetMode="External"/><Relationship Id="rId_hyperlink_1793" Type="http://schemas.openxmlformats.org/officeDocument/2006/relationships/hyperlink" Target="https://www.diodes.com/datasheet/download/DMP2004K.pdf" TargetMode="External"/><Relationship Id="rId_hyperlink_1794" Type="http://schemas.openxmlformats.org/officeDocument/2006/relationships/hyperlink" Target="https://www.diodes.com/part/view/DMP2004K" TargetMode="External"/><Relationship Id="rId_hyperlink_1795" Type="http://schemas.openxmlformats.org/officeDocument/2006/relationships/hyperlink" Target="https://www.diodes.com/datasheet/download/DMP2004TK.pdf" TargetMode="External"/><Relationship Id="rId_hyperlink_1796" Type="http://schemas.openxmlformats.org/officeDocument/2006/relationships/hyperlink" Target="https://www.diodes.com/part/view/DMP2004TK" TargetMode="External"/><Relationship Id="rId_hyperlink_1797" Type="http://schemas.openxmlformats.org/officeDocument/2006/relationships/hyperlink" Target="https://www.diodes.com/datasheet/download/DMP2004UFG.pdf" TargetMode="External"/><Relationship Id="rId_hyperlink_1798" Type="http://schemas.openxmlformats.org/officeDocument/2006/relationships/hyperlink" Target="https://www.diodes.com/part/view/DMP2004UFG" TargetMode="External"/><Relationship Id="rId_hyperlink_1799" Type="http://schemas.openxmlformats.org/officeDocument/2006/relationships/hyperlink" Target="https://www.diodes.com/datasheet/download/DMP2004VK.pdf" TargetMode="External"/><Relationship Id="rId_hyperlink_1800" Type="http://schemas.openxmlformats.org/officeDocument/2006/relationships/hyperlink" Target="https://www.diodes.com/part/view/DMP2004VK" TargetMode="External"/><Relationship Id="rId_hyperlink_1801" Type="http://schemas.openxmlformats.org/officeDocument/2006/relationships/hyperlink" Target="https://www.diodes.com/datasheet/download/DMP2004WK.pdf" TargetMode="External"/><Relationship Id="rId_hyperlink_1802" Type="http://schemas.openxmlformats.org/officeDocument/2006/relationships/hyperlink" Target="https://www.diodes.com/part/view/DMP2004WK" TargetMode="External"/><Relationship Id="rId_hyperlink_1803" Type="http://schemas.openxmlformats.org/officeDocument/2006/relationships/hyperlink" Target="https://www.diodes.com/datasheet/download/DMP2005UFG.pdf" TargetMode="External"/><Relationship Id="rId_hyperlink_1804" Type="http://schemas.openxmlformats.org/officeDocument/2006/relationships/hyperlink" Target="https://www.diodes.com/part/view/DMP2005UFG" TargetMode="External"/><Relationship Id="rId_hyperlink_1805" Type="http://schemas.openxmlformats.org/officeDocument/2006/relationships/hyperlink" Target="https://www.diodes.com/datasheet/download/DMP2006UFGQ.pdf" TargetMode="External"/><Relationship Id="rId_hyperlink_1806" Type="http://schemas.openxmlformats.org/officeDocument/2006/relationships/hyperlink" Target="https://www.diodes.com/part/view/DMP2006UFGQ" TargetMode="External"/><Relationship Id="rId_hyperlink_1807" Type="http://schemas.openxmlformats.org/officeDocument/2006/relationships/hyperlink" Target="https://www.diodes.com/datasheet/download/DMP2007UFG.pdf" TargetMode="External"/><Relationship Id="rId_hyperlink_1808" Type="http://schemas.openxmlformats.org/officeDocument/2006/relationships/hyperlink" Target="https://www.diodes.com/part/view/DMP2007UFG" TargetMode="External"/><Relationship Id="rId_hyperlink_1809" Type="http://schemas.openxmlformats.org/officeDocument/2006/relationships/hyperlink" Target="https://www.diodes.com/datasheet/download/DMP2008UFG.pdf" TargetMode="External"/><Relationship Id="rId_hyperlink_1810" Type="http://schemas.openxmlformats.org/officeDocument/2006/relationships/hyperlink" Target="https://www.diodes.com/part/view/DMP2008UFG" TargetMode="External"/><Relationship Id="rId_hyperlink_1811" Type="http://schemas.openxmlformats.org/officeDocument/2006/relationships/hyperlink" Target="https://www.diodes.com/datasheet/download/DMP2008USS.pdf" TargetMode="External"/><Relationship Id="rId_hyperlink_1812" Type="http://schemas.openxmlformats.org/officeDocument/2006/relationships/hyperlink" Target="https://www.diodes.com/part/view/DMP2008USS" TargetMode="External"/><Relationship Id="rId_hyperlink_1813" Type="http://schemas.openxmlformats.org/officeDocument/2006/relationships/hyperlink" Target="https://www.diodes.com/datasheet/download/DMP2010UFG.pdf" TargetMode="External"/><Relationship Id="rId_hyperlink_1814" Type="http://schemas.openxmlformats.org/officeDocument/2006/relationships/hyperlink" Target="https://www.diodes.com/part/view/DMP2010UFG" TargetMode="External"/><Relationship Id="rId_hyperlink_1815" Type="http://schemas.openxmlformats.org/officeDocument/2006/relationships/hyperlink" Target="https://www.diodes.com/datasheet/download/DMP2010UFV.pdf" TargetMode="External"/><Relationship Id="rId_hyperlink_1816" Type="http://schemas.openxmlformats.org/officeDocument/2006/relationships/hyperlink" Target="https://www.diodes.com/part/view/DMP2010UFV" TargetMode="External"/><Relationship Id="rId_hyperlink_1817" Type="http://schemas.openxmlformats.org/officeDocument/2006/relationships/hyperlink" Target="https://www.diodes.com/datasheet/download/DMP2012SN.pdf" TargetMode="External"/><Relationship Id="rId_hyperlink_1818" Type="http://schemas.openxmlformats.org/officeDocument/2006/relationships/hyperlink" Target="https://www.diodes.com/part/view/DMP2012SN" TargetMode="External"/><Relationship Id="rId_hyperlink_1819" Type="http://schemas.openxmlformats.org/officeDocument/2006/relationships/hyperlink" Target="https://www.diodes.com/datasheet/download/DMP2012UFDE.pdf" TargetMode="External"/><Relationship Id="rId_hyperlink_1820" Type="http://schemas.openxmlformats.org/officeDocument/2006/relationships/hyperlink" Target="https://www.diodes.com/part/view/DMP2012UFDE" TargetMode="External"/><Relationship Id="rId_hyperlink_1821" Type="http://schemas.openxmlformats.org/officeDocument/2006/relationships/hyperlink" Target="https://www.diodes.com/datasheet/download/DMP2016UFDF.pdf" TargetMode="External"/><Relationship Id="rId_hyperlink_1822" Type="http://schemas.openxmlformats.org/officeDocument/2006/relationships/hyperlink" Target="https://www.diodes.com/part/view/DMP2016UFDF" TargetMode="External"/><Relationship Id="rId_hyperlink_1823" Type="http://schemas.openxmlformats.org/officeDocument/2006/relationships/hyperlink" Target="https://www.diodes.com/datasheet/download/DMP2018LFK.pdf" TargetMode="External"/><Relationship Id="rId_hyperlink_1824" Type="http://schemas.openxmlformats.org/officeDocument/2006/relationships/hyperlink" Target="https://www.diodes.com/part/view/DMP2018LFK" TargetMode="External"/><Relationship Id="rId_hyperlink_1825" Type="http://schemas.openxmlformats.org/officeDocument/2006/relationships/hyperlink" Target="https://www.diodes.com/datasheet/download/DMP2021UFDE.pdf" TargetMode="External"/><Relationship Id="rId_hyperlink_1826" Type="http://schemas.openxmlformats.org/officeDocument/2006/relationships/hyperlink" Target="https://www.diodes.com/part/view/DMP2021UFDE" TargetMode="External"/><Relationship Id="rId_hyperlink_1827" Type="http://schemas.openxmlformats.org/officeDocument/2006/relationships/hyperlink" Target="https://www.diodes.com/datasheet/download/DMP2021UFDF.pdf" TargetMode="External"/><Relationship Id="rId_hyperlink_1828" Type="http://schemas.openxmlformats.org/officeDocument/2006/relationships/hyperlink" Target="https://www.diodes.com/part/view/DMP2021UFDF" TargetMode="External"/><Relationship Id="rId_hyperlink_1829" Type="http://schemas.openxmlformats.org/officeDocument/2006/relationships/hyperlink" Target="https://www.diodes.com/datasheet/download/DMP2021UTS.pdf" TargetMode="External"/><Relationship Id="rId_hyperlink_1830" Type="http://schemas.openxmlformats.org/officeDocument/2006/relationships/hyperlink" Target="https://www.diodes.com/part/view/DMP2021UTS" TargetMode="External"/><Relationship Id="rId_hyperlink_1831" Type="http://schemas.openxmlformats.org/officeDocument/2006/relationships/hyperlink" Target="https://www.diodes.com/datasheet/download/DMP2021UTSQ.pdf" TargetMode="External"/><Relationship Id="rId_hyperlink_1832" Type="http://schemas.openxmlformats.org/officeDocument/2006/relationships/hyperlink" Target="https://www.diodes.com/part/view/DMP2021UTSQ" TargetMode="External"/><Relationship Id="rId_hyperlink_1833" Type="http://schemas.openxmlformats.org/officeDocument/2006/relationships/hyperlink" Target="https://www.diodes.com/datasheet/download/DMP2022LSS.pdf" TargetMode="External"/><Relationship Id="rId_hyperlink_1834" Type="http://schemas.openxmlformats.org/officeDocument/2006/relationships/hyperlink" Target="https://www.diodes.com/part/view/DMP2022LSS" TargetMode="External"/><Relationship Id="rId_hyperlink_1835" Type="http://schemas.openxmlformats.org/officeDocument/2006/relationships/hyperlink" Target="https://www.diodes.com/datasheet/download/DMP2022LSSQ.pdf" TargetMode="External"/><Relationship Id="rId_hyperlink_1836" Type="http://schemas.openxmlformats.org/officeDocument/2006/relationships/hyperlink" Target="https://www.diodes.com/part/view/DMP2022LSSQ" TargetMode="External"/><Relationship Id="rId_hyperlink_1837" Type="http://schemas.openxmlformats.org/officeDocument/2006/relationships/hyperlink" Target="https://www.diodes.com/datasheet/download/DMP2023UFDF.pdf" TargetMode="External"/><Relationship Id="rId_hyperlink_1838" Type="http://schemas.openxmlformats.org/officeDocument/2006/relationships/hyperlink" Target="https://www.diodes.com/part/view/DMP2023UFDF" TargetMode="External"/><Relationship Id="rId_hyperlink_1839" Type="http://schemas.openxmlformats.org/officeDocument/2006/relationships/hyperlink" Target="https://www.diodes.com/datasheet/download/DMP2033UVT.pdf" TargetMode="External"/><Relationship Id="rId_hyperlink_1840" Type="http://schemas.openxmlformats.org/officeDocument/2006/relationships/hyperlink" Target="https://www.diodes.com/part/view/DMP2033UVT" TargetMode="External"/><Relationship Id="rId_hyperlink_1841" Type="http://schemas.openxmlformats.org/officeDocument/2006/relationships/hyperlink" Target="https://www.diodes.com/datasheet/download/DMP2035U.pdf" TargetMode="External"/><Relationship Id="rId_hyperlink_1842" Type="http://schemas.openxmlformats.org/officeDocument/2006/relationships/hyperlink" Target="https://www.diodes.com/part/view/DMP2035U" TargetMode="External"/><Relationship Id="rId_hyperlink_1843" Type="http://schemas.openxmlformats.org/officeDocument/2006/relationships/hyperlink" Target="https://www.diodes.com/datasheet/download/DMP2035UFCL.pdf" TargetMode="External"/><Relationship Id="rId_hyperlink_1844" Type="http://schemas.openxmlformats.org/officeDocument/2006/relationships/hyperlink" Target="https://www.diodes.com/part/view/DMP2035UFCL" TargetMode="External"/><Relationship Id="rId_hyperlink_1845" Type="http://schemas.openxmlformats.org/officeDocument/2006/relationships/hyperlink" Target="https://www.diodes.com/datasheet/download/DMP2035UFDF.pdf" TargetMode="External"/><Relationship Id="rId_hyperlink_1846" Type="http://schemas.openxmlformats.org/officeDocument/2006/relationships/hyperlink" Target="https://www.diodes.com/part/view/DMP2035UFDF" TargetMode="External"/><Relationship Id="rId_hyperlink_1847" Type="http://schemas.openxmlformats.org/officeDocument/2006/relationships/hyperlink" Target="https://www.diodes.com/datasheet/download/DMP2035UTS.pdf" TargetMode="External"/><Relationship Id="rId_hyperlink_1848" Type="http://schemas.openxmlformats.org/officeDocument/2006/relationships/hyperlink" Target="https://www.diodes.com/part/view/DMP2035UTS" TargetMode="External"/><Relationship Id="rId_hyperlink_1849" Type="http://schemas.openxmlformats.org/officeDocument/2006/relationships/hyperlink" Target="https://www.diodes.com/datasheet/download/DMP2035UVT.pdf" TargetMode="External"/><Relationship Id="rId_hyperlink_1850" Type="http://schemas.openxmlformats.org/officeDocument/2006/relationships/hyperlink" Target="https://www.diodes.com/part/view/DMP2035UVT" TargetMode="External"/><Relationship Id="rId_hyperlink_1851" Type="http://schemas.openxmlformats.org/officeDocument/2006/relationships/hyperlink" Target="https://www.diodes.com/datasheet/download/DMP2035UVTQ.pdf" TargetMode="External"/><Relationship Id="rId_hyperlink_1852" Type="http://schemas.openxmlformats.org/officeDocument/2006/relationships/hyperlink" Target="https://www.diodes.com/part/view/DMP2035UVTQ" TargetMode="External"/><Relationship Id="rId_hyperlink_1853" Type="http://schemas.openxmlformats.org/officeDocument/2006/relationships/hyperlink" Target="https://www.diodes.com/datasheet/download/DMP2036UVT.pdf" TargetMode="External"/><Relationship Id="rId_hyperlink_1854" Type="http://schemas.openxmlformats.org/officeDocument/2006/relationships/hyperlink" Target="https://www.diodes.com/part/view/DMP2036UVT" TargetMode="External"/><Relationship Id="rId_hyperlink_1855" Type="http://schemas.openxmlformats.org/officeDocument/2006/relationships/hyperlink" Target="https://www.diodes.com/datasheet/download/DMP2036UVTQ.pdf" TargetMode="External"/><Relationship Id="rId_hyperlink_1856" Type="http://schemas.openxmlformats.org/officeDocument/2006/relationships/hyperlink" Target="https://www.diodes.com/part/view/DMP2036UVTQ" TargetMode="External"/><Relationship Id="rId_hyperlink_1857" Type="http://schemas.openxmlformats.org/officeDocument/2006/relationships/hyperlink" Target="https://www.diodes.com/datasheet/download/DMP2037U.pdf" TargetMode="External"/><Relationship Id="rId_hyperlink_1858" Type="http://schemas.openxmlformats.org/officeDocument/2006/relationships/hyperlink" Target="https://www.diodes.com/part/view/DMP2037U" TargetMode="External"/><Relationship Id="rId_hyperlink_1859" Type="http://schemas.openxmlformats.org/officeDocument/2006/relationships/hyperlink" Target="https://www.diodes.com/datasheet/download/DMP2037UFCL.pdf" TargetMode="External"/><Relationship Id="rId_hyperlink_1860" Type="http://schemas.openxmlformats.org/officeDocument/2006/relationships/hyperlink" Target="https://www.diodes.com/part/view/DMP2037UFCL" TargetMode="External"/><Relationship Id="rId_hyperlink_1861" Type="http://schemas.openxmlformats.org/officeDocument/2006/relationships/hyperlink" Target="https://www.diodes.com/datasheet/download/DMP2039UFDE.pdf" TargetMode="External"/><Relationship Id="rId_hyperlink_1862" Type="http://schemas.openxmlformats.org/officeDocument/2006/relationships/hyperlink" Target="https://www.diodes.com/part/view/DMP2039UFDE" TargetMode="External"/><Relationship Id="rId_hyperlink_1863" Type="http://schemas.openxmlformats.org/officeDocument/2006/relationships/hyperlink" Target="https://www.diodes.com/datasheet/download/DMP2039UFDE4.pdf" TargetMode="External"/><Relationship Id="rId_hyperlink_1864" Type="http://schemas.openxmlformats.org/officeDocument/2006/relationships/hyperlink" Target="https://www.diodes.com/part/view/DMP2039UFDE4" TargetMode="External"/><Relationship Id="rId_hyperlink_1865" Type="http://schemas.openxmlformats.org/officeDocument/2006/relationships/hyperlink" Target="https://www.diodes.com/datasheet/download/DMP2040UFDF.pdf" TargetMode="External"/><Relationship Id="rId_hyperlink_1866" Type="http://schemas.openxmlformats.org/officeDocument/2006/relationships/hyperlink" Target="https://www.diodes.com/part/view/DMP2040UFDF" TargetMode="External"/><Relationship Id="rId_hyperlink_1867" Type="http://schemas.openxmlformats.org/officeDocument/2006/relationships/hyperlink" Target="https://www.diodes.com/datasheet/download/DMP2040UND.pdf" TargetMode="External"/><Relationship Id="rId_hyperlink_1868" Type="http://schemas.openxmlformats.org/officeDocument/2006/relationships/hyperlink" Target="https://www.diodes.com/part/view/DMP2040UND" TargetMode="External"/><Relationship Id="rId_hyperlink_1869" Type="http://schemas.openxmlformats.org/officeDocument/2006/relationships/hyperlink" Target="https://www.diodes.com/datasheet/download/DMP2040USD.pdf" TargetMode="External"/><Relationship Id="rId_hyperlink_1870" Type="http://schemas.openxmlformats.org/officeDocument/2006/relationships/hyperlink" Target="https://www.diodes.com/part/view/DMP2040USD" TargetMode="External"/><Relationship Id="rId_hyperlink_1871" Type="http://schemas.openxmlformats.org/officeDocument/2006/relationships/hyperlink" Target="https://www.diodes.com/datasheet/download/DMP2040USS.pdf" TargetMode="External"/><Relationship Id="rId_hyperlink_1872" Type="http://schemas.openxmlformats.org/officeDocument/2006/relationships/hyperlink" Target="https://www.diodes.com/part/view/DMP2040USS" TargetMode="External"/><Relationship Id="rId_hyperlink_1873" Type="http://schemas.openxmlformats.org/officeDocument/2006/relationships/hyperlink" Target="https://www.diodes.com/datasheet/download/DMP2040UVT.pdf" TargetMode="External"/><Relationship Id="rId_hyperlink_1874" Type="http://schemas.openxmlformats.org/officeDocument/2006/relationships/hyperlink" Target="https://www.diodes.com/part/view/DMP2040UVT" TargetMode="External"/><Relationship Id="rId_hyperlink_1875" Type="http://schemas.openxmlformats.org/officeDocument/2006/relationships/hyperlink" Target="https://www.diodes.com/datasheet/download/DMP2040UVTQ.pdf" TargetMode="External"/><Relationship Id="rId_hyperlink_1876" Type="http://schemas.openxmlformats.org/officeDocument/2006/relationships/hyperlink" Target="https://www.diodes.com/part/view/DMP2040UVTQ" TargetMode="External"/><Relationship Id="rId_hyperlink_1877" Type="http://schemas.openxmlformats.org/officeDocument/2006/relationships/hyperlink" Target="https://www.diodes.com/datasheet/download/DMP2042UCP4.pdf" TargetMode="External"/><Relationship Id="rId_hyperlink_1878" Type="http://schemas.openxmlformats.org/officeDocument/2006/relationships/hyperlink" Target="https://www.diodes.com/part/view/DMP2042UCP4" TargetMode="External"/><Relationship Id="rId_hyperlink_1879" Type="http://schemas.openxmlformats.org/officeDocument/2006/relationships/hyperlink" Target="https://www.diodes.com/datasheet/download/DMP2043UCA3.pdf" TargetMode="External"/><Relationship Id="rId_hyperlink_1880" Type="http://schemas.openxmlformats.org/officeDocument/2006/relationships/hyperlink" Target="https://www.diodes.com/part/view/DMP2043UCA3" TargetMode="External"/><Relationship Id="rId_hyperlink_1881" Type="http://schemas.openxmlformats.org/officeDocument/2006/relationships/hyperlink" Target="https://www.diodes.com/datasheet/download/DMP2045U.pdf" TargetMode="External"/><Relationship Id="rId_hyperlink_1882" Type="http://schemas.openxmlformats.org/officeDocument/2006/relationships/hyperlink" Target="https://www.diodes.com/part/view/DMP2045U" TargetMode="External"/><Relationship Id="rId_hyperlink_1883" Type="http://schemas.openxmlformats.org/officeDocument/2006/relationships/hyperlink" Target="https://www.diodes.com/datasheet/download/DMP2045UFDB.pdf" TargetMode="External"/><Relationship Id="rId_hyperlink_1884" Type="http://schemas.openxmlformats.org/officeDocument/2006/relationships/hyperlink" Target="https://www.diodes.com/part/view/DMP2045UFDB" TargetMode="External"/><Relationship Id="rId_hyperlink_1885" Type="http://schemas.openxmlformats.org/officeDocument/2006/relationships/hyperlink" Target="https://www.diodes.com/datasheet/download/DMP2045UFY4.pdf" TargetMode="External"/><Relationship Id="rId_hyperlink_1886" Type="http://schemas.openxmlformats.org/officeDocument/2006/relationships/hyperlink" Target="https://www.diodes.com/part/view/DMP2045UFY4" TargetMode="External"/><Relationship Id="rId_hyperlink_1887" Type="http://schemas.openxmlformats.org/officeDocument/2006/relationships/hyperlink" Target="https://www.diodes.com/datasheet/download/DMP2045UQ.pdf" TargetMode="External"/><Relationship Id="rId_hyperlink_1888" Type="http://schemas.openxmlformats.org/officeDocument/2006/relationships/hyperlink" Target="https://www.diodes.com/part/view/DMP2045UQ" TargetMode="External"/><Relationship Id="rId_hyperlink_1889" Type="http://schemas.openxmlformats.org/officeDocument/2006/relationships/hyperlink" Target="https://www.diodes.com/datasheet/download/DMP2047UCB4.pdf" TargetMode="External"/><Relationship Id="rId_hyperlink_1890" Type="http://schemas.openxmlformats.org/officeDocument/2006/relationships/hyperlink" Target="https://www.diodes.com/part/view/DMP2047UCB4" TargetMode="External"/><Relationship Id="rId_hyperlink_1891" Type="http://schemas.openxmlformats.org/officeDocument/2006/relationships/hyperlink" Target="https://www.diodes.com/datasheet/download/DMP2056UCA4.pdf" TargetMode="External"/><Relationship Id="rId_hyperlink_1892" Type="http://schemas.openxmlformats.org/officeDocument/2006/relationships/hyperlink" Target="https://www.diodes.com/part/view/DMP2056UCA4" TargetMode="External"/><Relationship Id="rId_hyperlink_1893" Type="http://schemas.openxmlformats.org/officeDocument/2006/relationships/hyperlink" Target="https://www.diodes.com/datasheet/download/DMP2065U.pdf" TargetMode="External"/><Relationship Id="rId_hyperlink_1894" Type="http://schemas.openxmlformats.org/officeDocument/2006/relationships/hyperlink" Target="https://www.diodes.com/part/view/DMP2065U" TargetMode="External"/><Relationship Id="rId_hyperlink_1895" Type="http://schemas.openxmlformats.org/officeDocument/2006/relationships/hyperlink" Target="https://www.diodes.com/datasheet/download/DMP2065UFDB.pdf" TargetMode="External"/><Relationship Id="rId_hyperlink_1896" Type="http://schemas.openxmlformats.org/officeDocument/2006/relationships/hyperlink" Target="https://www.diodes.com/part/view/DMP2065UFDB" TargetMode="External"/><Relationship Id="rId_hyperlink_1897" Type="http://schemas.openxmlformats.org/officeDocument/2006/relationships/hyperlink" Target="https://www.diodes.com/datasheet/download/DMP2065UQ.pdf" TargetMode="External"/><Relationship Id="rId_hyperlink_1898" Type="http://schemas.openxmlformats.org/officeDocument/2006/relationships/hyperlink" Target="https://www.diodes.com/part/view/DMP2065UQ" TargetMode="External"/><Relationship Id="rId_hyperlink_1899" Type="http://schemas.openxmlformats.org/officeDocument/2006/relationships/hyperlink" Target="https://www.diodes.com/datasheet/download/DMP2066LSN.pdf" TargetMode="External"/><Relationship Id="rId_hyperlink_1900" Type="http://schemas.openxmlformats.org/officeDocument/2006/relationships/hyperlink" Target="https://www.diodes.com/part/view/DMP2066LSN" TargetMode="External"/><Relationship Id="rId_hyperlink_1901" Type="http://schemas.openxmlformats.org/officeDocument/2006/relationships/hyperlink" Target="https://www.diodes.com/datasheet/download/DMP2066LVT.pdf" TargetMode="External"/><Relationship Id="rId_hyperlink_1902" Type="http://schemas.openxmlformats.org/officeDocument/2006/relationships/hyperlink" Target="https://www.diodes.com/part/view/DMP2066LVT" TargetMode="External"/><Relationship Id="rId_hyperlink_1903" Type="http://schemas.openxmlformats.org/officeDocument/2006/relationships/hyperlink" Target="https://www.diodes.com/datasheet/download/DMP2066UFDE.pdf" TargetMode="External"/><Relationship Id="rId_hyperlink_1904" Type="http://schemas.openxmlformats.org/officeDocument/2006/relationships/hyperlink" Target="https://www.diodes.com/part/view/DMP2066UFDE" TargetMode="External"/><Relationship Id="rId_hyperlink_1905" Type="http://schemas.openxmlformats.org/officeDocument/2006/relationships/hyperlink" Target="https://www.diodes.com/datasheet/download/DMP2067LSS.pdf" TargetMode="External"/><Relationship Id="rId_hyperlink_1906" Type="http://schemas.openxmlformats.org/officeDocument/2006/relationships/hyperlink" Target="https://www.diodes.com/part/view/DMP2067LSS" TargetMode="External"/><Relationship Id="rId_hyperlink_1907" Type="http://schemas.openxmlformats.org/officeDocument/2006/relationships/hyperlink" Target="https://www.diodes.com/datasheet/download/DMP2067LVT.pdf" TargetMode="External"/><Relationship Id="rId_hyperlink_1908" Type="http://schemas.openxmlformats.org/officeDocument/2006/relationships/hyperlink" Target="https://www.diodes.com/part/view/DMP2067LVT" TargetMode="External"/><Relationship Id="rId_hyperlink_1909" Type="http://schemas.openxmlformats.org/officeDocument/2006/relationships/hyperlink" Target="https://www.diodes.com/datasheet/download/DMP2067LVTQ.pdf" TargetMode="External"/><Relationship Id="rId_hyperlink_1910" Type="http://schemas.openxmlformats.org/officeDocument/2006/relationships/hyperlink" Target="https://www.diodes.com/part/view/DMP2067LVTQ" TargetMode="External"/><Relationship Id="rId_hyperlink_1911" Type="http://schemas.openxmlformats.org/officeDocument/2006/relationships/hyperlink" Target="https://www.diodes.com/datasheet/download/DMP2068UFY4.pdf" TargetMode="External"/><Relationship Id="rId_hyperlink_1912" Type="http://schemas.openxmlformats.org/officeDocument/2006/relationships/hyperlink" Target="https://www.diodes.com/part/view/DMP2068UFY4" TargetMode="External"/><Relationship Id="rId_hyperlink_1913" Type="http://schemas.openxmlformats.org/officeDocument/2006/relationships/hyperlink" Target="https://www.diodes.com/datasheet/download/DMP2068UFY4Q.pdf" TargetMode="External"/><Relationship Id="rId_hyperlink_1914" Type="http://schemas.openxmlformats.org/officeDocument/2006/relationships/hyperlink" Target="https://www.diodes.com/part/view/DMP2068UFY4Q" TargetMode="External"/><Relationship Id="rId_hyperlink_1915" Type="http://schemas.openxmlformats.org/officeDocument/2006/relationships/hyperlink" Target="https://www.diodes.com/datasheet/download/DMP2069UFY4.pdf" TargetMode="External"/><Relationship Id="rId_hyperlink_1916" Type="http://schemas.openxmlformats.org/officeDocument/2006/relationships/hyperlink" Target="https://www.diodes.com/part/view/DMP2069UFY4" TargetMode="External"/><Relationship Id="rId_hyperlink_1917" Type="http://schemas.openxmlformats.org/officeDocument/2006/relationships/hyperlink" Target="https://www.diodes.com/datasheet/download/DMP2069UFY4Q.pdf" TargetMode="External"/><Relationship Id="rId_hyperlink_1918" Type="http://schemas.openxmlformats.org/officeDocument/2006/relationships/hyperlink" Target="https://www.diodes.com/part/view/DMP2069UFY4Q" TargetMode="External"/><Relationship Id="rId_hyperlink_1919" Type="http://schemas.openxmlformats.org/officeDocument/2006/relationships/hyperlink" Target="https://www.diodes.com/datasheet/download/DMP2070U.pdf" TargetMode="External"/><Relationship Id="rId_hyperlink_1920" Type="http://schemas.openxmlformats.org/officeDocument/2006/relationships/hyperlink" Target="https://www.diodes.com/part/view/DMP2070U" TargetMode="External"/><Relationship Id="rId_hyperlink_1921" Type="http://schemas.openxmlformats.org/officeDocument/2006/relationships/hyperlink" Target="https://www.diodes.com/datasheet/download/DMP2070UFY4.pdf" TargetMode="External"/><Relationship Id="rId_hyperlink_1922" Type="http://schemas.openxmlformats.org/officeDocument/2006/relationships/hyperlink" Target="https://www.diodes.com/part/view/DMP2070UFY4" TargetMode="External"/><Relationship Id="rId_hyperlink_1923" Type="http://schemas.openxmlformats.org/officeDocument/2006/relationships/hyperlink" Target="https://www.diodes.com/datasheet/download/DMP2070UFY4Q.pdf" TargetMode="External"/><Relationship Id="rId_hyperlink_1924" Type="http://schemas.openxmlformats.org/officeDocument/2006/relationships/hyperlink" Target="https://www.diodes.com/part/view/DMP2070UFY4Q" TargetMode="External"/><Relationship Id="rId_hyperlink_1925" Type="http://schemas.openxmlformats.org/officeDocument/2006/relationships/hyperlink" Target="https://www.diodes.com/datasheet/download/DMP2070UQ.pdf" TargetMode="External"/><Relationship Id="rId_hyperlink_1926" Type="http://schemas.openxmlformats.org/officeDocument/2006/relationships/hyperlink" Target="https://www.diodes.com/part/view/DMP2070UQ" TargetMode="External"/><Relationship Id="rId_hyperlink_1927" Type="http://schemas.openxmlformats.org/officeDocument/2006/relationships/hyperlink" Target="https://www.diodes.com/datasheet/download/DMP2075UFDB.pdf" TargetMode="External"/><Relationship Id="rId_hyperlink_1928" Type="http://schemas.openxmlformats.org/officeDocument/2006/relationships/hyperlink" Target="https://www.diodes.com/part/view/DMP2075UFDB" TargetMode="External"/><Relationship Id="rId_hyperlink_1929" Type="http://schemas.openxmlformats.org/officeDocument/2006/relationships/hyperlink" Target="https://www.diodes.com/datasheet/download/DMP2075UVT.pdf" TargetMode="External"/><Relationship Id="rId_hyperlink_1930" Type="http://schemas.openxmlformats.org/officeDocument/2006/relationships/hyperlink" Target="https://www.diodes.com/part/view/DMP2075UVT" TargetMode="External"/><Relationship Id="rId_hyperlink_1931" Type="http://schemas.openxmlformats.org/officeDocument/2006/relationships/hyperlink" Target="https://www.diodes.com/datasheet/download/DMP2077UCA3.pdf" TargetMode="External"/><Relationship Id="rId_hyperlink_1932" Type="http://schemas.openxmlformats.org/officeDocument/2006/relationships/hyperlink" Target="https://www.diodes.com/part/view/DMP2077UCA3" TargetMode="External"/><Relationship Id="rId_hyperlink_1933" Type="http://schemas.openxmlformats.org/officeDocument/2006/relationships/hyperlink" Target="https://www.diodes.com/datasheet/download/DMP2078LCA3.pdf" TargetMode="External"/><Relationship Id="rId_hyperlink_1934" Type="http://schemas.openxmlformats.org/officeDocument/2006/relationships/hyperlink" Target="https://www.diodes.com/part/view/DMP2078LCA3" TargetMode="External"/><Relationship Id="rId_hyperlink_1935" Type="http://schemas.openxmlformats.org/officeDocument/2006/relationships/hyperlink" Target="https://www.diodes.com/datasheet/download/DMP2079LCA3.pdf" TargetMode="External"/><Relationship Id="rId_hyperlink_1936" Type="http://schemas.openxmlformats.org/officeDocument/2006/relationships/hyperlink" Target="https://www.diodes.com/part/view/DMP2079LCA3" TargetMode="External"/><Relationship Id="rId_hyperlink_1937" Type="http://schemas.openxmlformats.org/officeDocument/2006/relationships/hyperlink" Target="https://www.diodes.com/datasheet/download/DMP2090UFDB.pdf" TargetMode="External"/><Relationship Id="rId_hyperlink_1938" Type="http://schemas.openxmlformats.org/officeDocument/2006/relationships/hyperlink" Target="https://www.diodes.com/part/view/DMP2090UFDB" TargetMode="External"/><Relationship Id="rId_hyperlink_1939" Type="http://schemas.openxmlformats.org/officeDocument/2006/relationships/hyperlink" Target="https://www.diodes.com/datasheet/download/DMP2100UFU.pdf" TargetMode="External"/><Relationship Id="rId_hyperlink_1940" Type="http://schemas.openxmlformats.org/officeDocument/2006/relationships/hyperlink" Target="https://www.diodes.com/part/view/DMP2100UFU" TargetMode="External"/><Relationship Id="rId_hyperlink_1941" Type="http://schemas.openxmlformats.org/officeDocument/2006/relationships/hyperlink" Target="https://www.diodes.com/datasheet/download/DMP2101UCP9.pdf" TargetMode="External"/><Relationship Id="rId_hyperlink_1942" Type="http://schemas.openxmlformats.org/officeDocument/2006/relationships/hyperlink" Target="https://www.diodes.com/part/view/DMP2101UCP9" TargetMode="External"/><Relationship Id="rId_hyperlink_1943" Type="http://schemas.openxmlformats.org/officeDocument/2006/relationships/hyperlink" Target="https://www.diodes.com/datasheet/download/DMP2104LP.pdf" TargetMode="External"/><Relationship Id="rId_hyperlink_1944" Type="http://schemas.openxmlformats.org/officeDocument/2006/relationships/hyperlink" Target="https://www.diodes.com/part/view/DMP2104LP" TargetMode="External"/><Relationship Id="rId_hyperlink_1945" Type="http://schemas.openxmlformats.org/officeDocument/2006/relationships/hyperlink" Target="https://www.diodes.com/datasheet/download/DMP2104V.pdf" TargetMode="External"/><Relationship Id="rId_hyperlink_1946" Type="http://schemas.openxmlformats.org/officeDocument/2006/relationships/hyperlink" Target="https://www.diodes.com/part/view/DMP2104V" TargetMode="External"/><Relationship Id="rId_hyperlink_1947" Type="http://schemas.openxmlformats.org/officeDocument/2006/relationships/hyperlink" Target="https://www.diodes.com/datasheet/download/DMP2109UVT.pdf" TargetMode="External"/><Relationship Id="rId_hyperlink_1948" Type="http://schemas.openxmlformats.org/officeDocument/2006/relationships/hyperlink" Target="https://www.diodes.com/part/view/DMP2109UVT" TargetMode="External"/><Relationship Id="rId_hyperlink_1949" Type="http://schemas.openxmlformats.org/officeDocument/2006/relationships/hyperlink" Target="https://www.diodes.com/datasheet/download/DMP2109UVTQ.pdf" TargetMode="External"/><Relationship Id="rId_hyperlink_1950" Type="http://schemas.openxmlformats.org/officeDocument/2006/relationships/hyperlink" Target="https://www.diodes.com/part/view/DMP2109UVTQ" TargetMode="External"/><Relationship Id="rId_hyperlink_1951" Type="http://schemas.openxmlformats.org/officeDocument/2006/relationships/hyperlink" Target="https://www.diodes.com/datasheet/download/DMP2110U.pdf" TargetMode="External"/><Relationship Id="rId_hyperlink_1952" Type="http://schemas.openxmlformats.org/officeDocument/2006/relationships/hyperlink" Target="https://www.diodes.com/part/view/DMP2110U" TargetMode="External"/><Relationship Id="rId_hyperlink_1953" Type="http://schemas.openxmlformats.org/officeDocument/2006/relationships/hyperlink" Target="https://www.diodes.com/datasheet/download/DMP2110UFDB.pdf" TargetMode="External"/><Relationship Id="rId_hyperlink_1954" Type="http://schemas.openxmlformats.org/officeDocument/2006/relationships/hyperlink" Target="https://www.diodes.com/part/view/DMP2110UFDB" TargetMode="External"/><Relationship Id="rId_hyperlink_1955" Type="http://schemas.openxmlformats.org/officeDocument/2006/relationships/hyperlink" Target="https://www.diodes.com/datasheet/download/DMP2110UFDBQ.pdf" TargetMode="External"/><Relationship Id="rId_hyperlink_1956" Type="http://schemas.openxmlformats.org/officeDocument/2006/relationships/hyperlink" Target="https://www.diodes.com/part/view/DMP2110UFDBQ" TargetMode="External"/><Relationship Id="rId_hyperlink_1957" Type="http://schemas.openxmlformats.org/officeDocument/2006/relationships/hyperlink" Target="https://www.diodes.com/datasheet/download/DMP2110UQ.pdf" TargetMode="External"/><Relationship Id="rId_hyperlink_1958" Type="http://schemas.openxmlformats.org/officeDocument/2006/relationships/hyperlink" Target="https://www.diodes.com/part/view/DMP2110UQ" TargetMode="External"/><Relationship Id="rId_hyperlink_1959" Type="http://schemas.openxmlformats.org/officeDocument/2006/relationships/hyperlink" Target="https://www.diodes.com/datasheet/download/DMP2110UVT.pdf" TargetMode="External"/><Relationship Id="rId_hyperlink_1960" Type="http://schemas.openxmlformats.org/officeDocument/2006/relationships/hyperlink" Target="https://www.diodes.com/part/view/DMP2110UVT" TargetMode="External"/><Relationship Id="rId_hyperlink_1961" Type="http://schemas.openxmlformats.org/officeDocument/2006/relationships/hyperlink" Target="https://www.diodes.com/datasheet/download/DMP2110UVTQ.pdf" TargetMode="External"/><Relationship Id="rId_hyperlink_1962" Type="http://schemas.openxmlformats.org/officeDocument/2006/relationships/hyperlink" Target="https://www.diodes.com/part/view/DMP2110UVTQ" TargetMode="External"/><Relationship Id="rId_hyperlink_1963" Type="http://schemas.openxmlformats.org/officeDocument/2006/relationships/hyperlink" Target="https://www.diodes.com/datasheet/download/DMP2110UW.pdf" TargetMode="External"/><Relationship Id="rId_hyperlink_1964" Type="http://schemas.openxmlformats.org/officeDocument/2006/relationships/hyperlink" Target="https://www.diodes.com/part/view/DMP2110UW" TargetMode="External"/><Relationship Id="rId_hyperlink_1965" Type="http://schemas.openxmlformats.org/officeDocument/2006/relationships/hyperlink" Target="https://www.diodes.com/datasheet/download/DMP2120U.pdf" TargetMode="External"/><Relationship Id="rId_hyperlink_1966" Type="http://schemas.openxmlformats.org/officeDocument/2006/relationships/hyperlink" Target="https://www.diodes.com/part/view/DMP2120U" TargetMode="External"/><Relationship Id="rId_hyperlink_1967" Type="http://schemas.openxmlformats.org/officeDocument/2006/relationships/hyperlink" Target="https://www.diodes.com/datasheet/download/DMP2123L.pdf" TargetMode="External"/><Relationship Id="rId_hyperlink_1968" Type="http://schemas.openxmlformats.org/officeDocument/2006/relationships/hyperlink" Target="https://www.diodes.com/part/view/DMP2123L" TargetMode="External"/><Relationship Id="rId_hyperlink_1969" Type="http://schemas.openxmlformats.org/officeDocument/2006/relationships/hyperlink" Target="https://www.diodes.com/datasheet/download/DMP2123LQ.pdf" TargetMode="External"/><Relationship Id="rId_hyperlink_1970" Type="http://schemas.openxmlformats.org/officeDocument/2006/relationships/hyperlink" Target="https://www.diodes.com/part/view/DMP2123LQ" TargetMode="External"/><Relationship Id="rId_hyperlink_1971" Type="http://schemas.openxmlformats.org/officeDocument/2006/relationships/hyperlink" Target="https://www.diodes.com/datasheet/download/DMP2130L.pdf" TargetMode="External"/><Relationship Id="rId_hyperlink_1972" Type="http://schemas.openxmlformats.org/officeDocument/2006/relationships/hyperlink" Target="https://www.diodes.com/part/view/DMP2130L" TargetMode="External"/><Relationship Id="rId_hyperlink_1973" Type="http://schemas.openxmlformats.org/officeDocument/2006/relationships/hyperlink" Target="https://www.diodes.com/datasheet/download/DMP2130LDM.pdf" TargetMode="External"/><Relationship Id="rId_hyperlink_1974" Type="http://schemas.openxmlformats.org/officeDocument/2006/relationships/hyperlink" Target="https://www.diodes.com/part/view/DMP2130LDM" TargetMode="External"/><Relationship Id="rId_hyperlink_1975" Type="http://schemas.openxmlformats.org/officeDocument/2006/relationships/hyperlink" Target="https://www.diodes.com/datasheet/download/DMP213DUFA.pdf" TargetMode="External"/><Relationship Id="rId_hyperlink_1976" Type="http://schemas.openxmlformats.org/officeDocument/2006/relationships/hyperlink" Target="https://www.diodes.com/part/view/DMP213DUFA" TargetMode="External"/><Relationship Id="rId_hyperlink_1977" Type="http://schemas.openxmlformats.org/officeDocument/2006/relationships/hyperlink" Target="https://www.diodes.com/datasheet/download/DMP2160UWQ.pdf" TargetMode="External"/><Relationship Id="rId_hyperlink_1978" Type="http://schemas.openxmlformats.org/officeDocument/2006/relationships/hyperlink" Target="https://www.diodes.com/part/view/DMP2160UWQ" TargetMode="External"/><Relationship Id="rId_hyperlink_1979" Type="http://schemas.openxmlformats.org/officeDocument/2006/relationships/hyperlink" Target="https://www.diodes.com/datasheet/download/DMP2165UW.pdf" TargetMode="External"/><Relationship Id="rId_hyperlink_1980" Type="http://schemas.openxmlformats.org/officeDocument/2006/relationships/hyperlink" Target="https://www.diodes.com/part/view/DMP2165UW" TargetMode="External"/><Relationship Id="rId_hyperlink_1981" Type="http://schemas.openxmlformats.org/officeDocument/2006/relationships/hyperlink" Target="https://www.diodes.com/datasheet/download/DMP2170U.pdf" TargetMode="External"/><Relationship Id="rId_hyperlink_1982" Type="http://schemas.openxmlformats.org/officeDocument/2006/relationships/hyperlink" Target="https://www.diodes.com/part/view/DMP2170U" TargetMode="External"/><Relationship Id="rId_hyperlink_1983" Type="http://schemas.openxmlformats.org/officeDocument/2006/relationships/hyperlink" Target="https://www.diodes.com/datasheet/download/DMP21D0UFB.pdf" TargetMode="External"/><Relationship Id="rId_hyperlink_1984" Type="http://schemas.openxmlformats.org/officeDocument/2006/relationships/hyperlink" Target="https://www.diodes.com/part/view/DMP21D0UFB" TargetMode="External"/><Relationship Id="rId_hyperlink_1985" Type="http://schemas.openxmlformats.org/officeDocument/2006/relationships/hyperlink" Target="https://www.diodes.com/datasheet/download/DMP21D0UFB4.pdf" TargetMode="External"/><Relationship Id="rId_hyperlink_1986" Type="http://schemas.openxmlformats.org/officeDocument/2006/relationships/hyperlink" Target="https://www.diodes.com/part/view/DMP21D0UFB4" TargetMode="External"/><Relationship Id="rId_hyperlink_1987" Type="http://schemas.openxmlformats.org/officeDocument/2006/relationships/hyperlink" Target="https://www.diodes.com/datasheet/download/DMP21D0UFD.pdf" TargetMode="External"/><Relationship Id="rId_hyperlink_1988" Type="http://schemas.openxmlformats.org/officeDocument/2006/relationships/hyperlink" Target="https://www.diodes.com/part/view/DMP21D0UFD" TargetMode="External"/><Relationship Id="rId_hyperlink_1989" Type="http://schemas.openxmlformats.org/officeDocument/2006/relationships/hyperlink" Target="https://www.diodes.com/datasheet/download/DMP21D0UT.pdf" TargetMode="External"/><Relationship Id="rId_hyperlink_1990" Type="http://schemas.openxmlformats.org/officeDocument/2006/relationships/hyperlink" Target="https://www.diodes.com/part/view/DMP21D0UT" TargetMode="External"/><Relationship Id="rId_hyperlink_1991" Type="http://schemas.openxmlformats.org/officeDocument/2006/relationships/hyperlink" Target="https://www.diodes.com/datasheet/download/DMP21D1UT.pdf" TargetMode="External"/><Relationship Id="rId_hyperlink_1992" Type="http://schemas.openxmlformats.org/officeDocument/2006/relationships/hyperlink" Target="https://www.diodes.com/part/view/DMP21D1UT" TargetMode="External"/><Relationship Id="rId_hyperlink_1993" Type="http://schemas.openxmlformats.org/officeDocument/2006/relationships/hyperlink" Target="https://www.diodes.com/datasheet/download/DMP21D1UTQ.pdf" TargetMode="External"/><Relationship Id="rId_hyperlink_1994" Type="http://schemas.openxmlformats.org/officeDocument/2006/relationships/hyperlink" Target="https://www.diodes.com/part/view/DMP21D1UTQ" TargetMode="External"/><Relationship Id="rId_hyperlink_1995" Type="http://schemas.openxmlformats.org/officeDocument/2006/relationships/hyperlink" Target="https://www.diodes.com/datasheet/download/DMP21D2UFA.pdf" TargetMode="External"/><Relationship Id="rId_hyperlink_1996" Type="http://schemas.openxmlformats.org/officeDocument/2006/relationships/hyperlink" Target="https://www.diodes.com/part/view/DMP21D2UFA" TargetMode="External"/><Relationship Id="rId_hyperlink_1997" Type="http://schemas.openxmlformats.org/officeDocument/2006/relationships/hyperlink" Target="https://www.diodes.com/datasheet/download/DMP21D5UFB4.pdf" TargetMode="External"/><Relationship Id="rId_hyperlink_1998" Type="http://schemas.openxmlformats.org/officeDocument/2006/relationships/hyperlink" Target="https://www.diodes.com/part/view/DMP21D5UFB4" TargetMode="External"/><Relationship Id="rId_hyperlink_1999" Type="http://schemas.openxmlformats.org/officeDocument/2006/relationships/hyperlink" Target="https://www.diodes.com/datasheet/download/DMP21D6UFB4.pdf" TargetMode="External"/><Relationship Id="rId_hyperlink_2000" Type="http://schemas.openxmlformats.org/officeDocument/2006/relationships/hyperlink" Target="https://www.diodes.com/part/view/DMP21D6UFB4" TargetMode="External"/><Relationship Id="rId_hyperlink_2001" Type="http://schemas.openxmlformats.org/officeDocument/2006/relationships/hyperlink" Target="https://www.diodes.com/datasheet/download/DMP21D6UFD.pdf" TargetMode="External"/><Relationship Id="rId_hyperlink_2002" Type="http://schemas.openxmlformats.org/officeDocument/2006/relationships/hyperlink" Target="https://www.diodes.com/part/view/DMP21D6UFD" TargetMode="External"/><Relationship Id="rId_hyperlink_2003" Type="http://schemas.openxmlformats.org/officeDocument/2006/relationships/hyperlink" Target="https://www.diodes.com/datasheet/download/DMP2200UDW.pdf" TargetMode="External"/><Relationship Id="rId_hyperlink_2004" Type="http://schemas.openxmlformats.org/officeDocument/2006/relationships/hyperlink" Target="https://www.diodes.com/part/view/DMP2200UDW" TargetMode="External"/><Relationship Id="rId_hyperlink_2005" Type="http://schemas.openxmlformats.org/officeDocument/2006/relationships/hyperlink" Target="https://www.diodes.com/datasheet/download/DMP2200UFCL.pdf" TargetMode="External"/><Relationship Id="rId_hyperlink_2006" Type="http://schemas.openxmlformats.org/officeDocument/2006/relationships/hyperlink" Target="https://www.diodes.com/part/view/DMP2200UFCL" TargetMode="External"/><Relationship Id="rId_hyperlink_2007" Type="http://schemas.openxmlformats.org/officeDocument/2006/relationships/hyperlink" Target="https://www.diodes.com/datasheet/download/DMP2240UDM.pdf" TargetMode="External"/><Relationship Id="rId_hyperlink_2008" Type="http://schemas.openxmlformats.org/officeDocument/2006/relationships/hyperlink" Target="https://www.diodes.com/part/view/DMP2240UDM" TargetMode="External"/><Relationship Id="rId_hyperlink_2009" Type="http://schemas.openxmlformats.org/officeDocument/2006/relationships/hyperlink" Target="https://www.diodes.com/datasheet/download/DMP2240UW.pdf" TargetMode="External"/><Relationship Id="rId_hyperlink_2010" Type="http://schemas.openxmlformats.org/officeDocument/2006/relationships/hyperlink" Target="https://www.diodes.com/part/view/DMP2240UW" TargetMode="External"/><Relationship Id="rId_hyperlink_2011" Type="http://schemas.openxmlformats.org/officeDocument/2006/relationships/hyperlink" Target="https://www.diodes.com/datasheet/download/DMP2240UWQ.pdf" TargetMode="External"/><Relationship Id="rId_hyperlink_2012" Type="http://schemas.openxmlformats.org/officeDocument/2006/relationships/hyperlink" Target="https://www.diodes.com/part/view/DMP2240UWQ" TargetMode="External"/><Relationship Id="rId_hyperlink_2013" Type="http://schemas.openxmlformats.org/officeDocument/2006/relationships/hyperlink" Target="https://www.diodes.com/datasheet/download/DMP22D3UFZ.pdf" TargetMode="External"/><Relationship Id="rId_hyperlink_2014" Type="http://schemas.openxmlformats.org/officeDocument/2006/relationships/hyperlink" Target="https://www.diodes.com/part/view/DMP22D3UFZ" TargetMode="External"/><Relationship Id="rId_hyperlink_2015" Type="http://schemas.openxmlformats.org/officeDocument/2006/relationships/hyperlink" Target="https://www.diodes.com/datasheet/download/DMP22D4UDA.pdf" TargetMode="External"/><Relationship Id="rId_hyperlink_2016" Type="http://schemas.openxmlformats.org/officeDocument/2006/relationships/hyperlink" Target="https://www.diodes.com/part/view/DMP22D4UDA" TargetMode="External"/><Relationship Id="rId_hyperlink_2017" Type="http://schemas.openxmlformats.org/officeDocument/2006/relationships/hyperlink" Target="https://www.diodes.com/datasheet/download/DMP22D4UFA.pdf" TargetMode="External"/><Relationship Id="rId_hyperlink_2018" Type="http://schemas.openxmlformats.org/officeDocument/2006/relationships/hyperlink" Target="https://www.diodes.com/part/view/DMP22D4UFA" TargetMode="External"/><Relationship Id="rId_hyperlink_2019" Type="http://schemas.openxmlformats.org/officeDocument/2006/relationships/hyperlink" Target="https://www.diodes.com/datasheet/download/DMP22D4UFO.pdf" TargetMode="External"/><Relationship Id="rId_hyperlink_2020" Type="http://schemas.openxmlformats.org/officeDocument/2006/relationships/hyperlink" Target="https://www.diodes.com/part/view/DMP22D4UFO" TargetMode="External"/><Relationship Id="rId_hyperlink_2021" Type="http://schemas.openxmlformats.org/officeDocument/2006/relationships/hyperlink" Target="https://www.diodes.com/datasheet/download/DMP22D5UDA.pdf" TargetMode="External"/><Relationship Id="rId_hyperlink_2022" Type="http://schemas.openxmlformats.org/officeDocument/2006/relationships/hyperlink" Target="https://www.diodes.com/part/view/DMP22D5UDA" TargetMode="External"/><Relationship Id="rId_hyperlink_2023" Type="http://schemas.openxmlformats.org/officeDocument/2006/relationships/hyperlink" Target="https://www.diodes.com/datasheet/download/DMP22D5UDJ.pdf" TargetMode="External"/><Relationship Id="rId_hyperlink_2024" Type="http://schemas.openxmlformats.org/officeDocument/2006/relationships/hyperlink" Target="https://www.diodes.com/part/view/DMP22D5UDJ" TargetMode="External"/><Relationship Id="rId_hyperlink_2025" Type="http://schemas.openxmlformats.org/officeDocument/2006/relationships/hyperlink" Target="https://www.diodes.com/datasheet/download/DMP22D5UDR4.pdf" TargetMode="External"/><Relationship Id="rId_hyperlink_2026" Type="http://schemas.openxmlformats.org/officeDocument/2006/relationships/hyperlink" Target="https://www.diodes.com/part/view/DMP22D5UDR4" TargetMode="External"/><Relationship Id="rId_hyperlink_2027" Type="http://schemas.openxmlformats.org/officeDocument/2006/relationships/hyperlink" Target="https://www.diodes.com/datasheet/download/DMP22D5UFA.pdf" TargetMode="External"/><Relationship Id="rId_hyperlink_2028" Type="http://schemas.openxmlformats.org/officeDocument/2006/relationships/hyperlink" Target="https://www.diodes.com/part/view/DMP22D5UFA" TargetMode="External"/><Relationship Id="rId_hyperlink_2029" Type="http://schemas.openxmlformats.org/officeDocument/2006/relationships/hyperlink" Target="https://www.diodes.com/datasheet/download/DMP22D5UFB4.pdf" TargetMode="External"/><Relationship Id="rId_hyperlink_2030" Type="http://schemas.openxmlformats.org/officeDocument/2006/relationships/hyperlink" Target="https://www.diodes.com/part/view/DMP22D5UFB4" TargetMode="External"/><Relationship Id="rId_hyperlink_2031" Type="http://schemas.openxmlformats.org/officeDocument/2006/relationships/hyperlink" Target="https://www.diodes.com/datasheet/download/DMP22D5UFB4Q.pdf" TargetMode="External"/><Relationship Id="rId_hyperlink_2032" Type="http://schemas.openxmlformats.org/officeDocument/2006/relationships/hyperlink" Target="https://www.diodes.com/part/view/DMP22D5UFB4Q" TargetMode="External"/><Relationship Id="rId_hyperlink_2033" Type="http://schemas.openxmlformats.org/officeDocument/2006/relationships/hyperlink" Target="https://www.diodes.com/datasheet/download/DMP22D5UFO.pdf" TargetMode="External"/><Relationship Id="rId_hyperlink_2034" Type="http://schemas.openxmlformats.org/officeDocument/2006/relationships/hyperlink" Target="https://www.diodes.com/part/view/DMP22D5UFO" TargetMode="External"/><Relationship Id="rId_hyperlink_2035" Type="http://schemas.openxmlformats.org/officeDocument/2006/relationships/hyperlink" Target="https://www.diodes.com/datasheet/download/DMP22D5UFZ.pdf" TargetMode="External"/><Relationship Id="rId_hyperlink_2036" Type="http://schemas.openxmlformats.org/officeDocument/2006/relationships/hyperlink" Target="https://www.diodes.com/part/view/DMP22D5UFZ" TargetMode="External"/><Relationship Id="rId_hyperlink_2037" Type="http://schemas.openxmlformats.org/officeDocument/2006/relationships/hyperlink" Target="https://www.diodes.com/datasheet/download/DMP22D6UFB4.pdf" TargetMode="External"/><Relationship Id="rId_hyperlink_2038" Type="http://schemas.openxmlformats.org/officeDocument/2006/relationships/hyperlink" Target="https://www.diodes.com/part/view/DMP22D6UFB4" TargetMode="External"/><Relationship Id="rId_hyperlink_2039" Type="http://schemas.openxmlformats.org/officeDocument/2006/relationships/hyperlink" Target="https://www.diodes.com/datasheet/download/DMP22D6UFB4Q.pdf" TargetMode="External"/><Relationship Id="rId_hyperlink_2040" Type="http://schemas.openxmlformats.org/officeDocument/2006/relationships/hyperlink" Target="https://www.diodes.com/part/view/DMP22D6UFB4Q" TargetMode="External"/><Relationship Id="rId_hyperlink_2041" Type="http://schemas.openxmlformats.org/officeDocument/2006/relationships/hyperlink" Target="https://www.diodes.com/datasheet/download/DMP22D6UT.pdf" TargetMode="External"/><Relationship Id="rId_hyperlink_2042" Type="http://schemas.openxmlformats.org/officeDocument/2006/relationships/hyperlink" Target="https://www.diodes.com/part/view/DMP22D6UT" TargetMode="External"/><Relationship Id="rId_hyperlink_2043" Type="http://schemas.openxmlformats.org/officeDocument/2006/relationships/hyperlink" Target="https://www.diodes.com/datasheet/download/DMP22M1UPSW.pdf" TargetMode="External"/><Relationship Id="rId_hyperlink_2044" Type="http://schemas.openxmlformats.org/officeDocument/2006/relationships/hyperlink" Target="https://www.diodes.com/part/view/DMP22M1UPSW" TargetMode="External"/><Relationship Id="rId_hyperlink_2045" Type="http://schemas.openxmlformats.org/officeDocument/2006/relationships/hyperlink" Target="https://www.diodes.com/datasheet/download/DMP22M2UPS.pdf" TargetMode="External"/><Relationship Id="rId_hyperlink_2046" Type="http://schemas.openxmlformats.org/officeDocument/2006/relationships/hyperlink" Target="https://www.diodes.com/part/view/DMP22M2UPS" TargetMode="External"/><Relationship Id="rId_hyperlink_2047" Type="http://schemas.openxmlformats.org/officeDocument/2006/relationships/hyperlink" Target="https://www.diodes.com/datasheet/download/DMP2305U.pdf" TargetMode="External"/><Relationship Id="rId_hyperlink_2048" Type="http://schemas.openxmlformats.org/officeDocument/2006/relationships/hyperlink" Target="https://www.diodes.com/part/view/DMP2305U" TargetMode="External"/><Relationship Id="rId_hyperlink_2049" Type="http://schemas.openxmlformats.org/officeDocument/2006/relationships/hyperlink" Target="https://www.diodes.com/datasheet/download/DMP2305UVT.pdf" TargetMode="External"/><Relationship Id="rId_hyperlink_2050" Type="http://schemas.openxmlformats.org/officeDocument/2006/relationships/hyperlink" Target="https://www.diodes.com/part/view/DMP2305UVT" TargetMode="External"/><Relationship Id="rId_hyperlink_2051" Type="http://schemas.openxmlformats.org/officeDocument/2006/relationships/hyperlink" Target="https://www.diodes.com/datasheet/download/DMP2541UCP9.pdf" TargetMode="External"/><Relationship Id="rId_hyperlink_2052" Type="http://schemas.openxmlformats.org/officeDocument/2006/relationships/hyperlink" Target="https://www.diodes.com/part/view/DMP2541UCP9" TargetMode="External"/><Relationship Id="rId_hyperlink_2053" Type="http://schemas.openxmlformats.org/officeDocument/2006/relationships/hyperlink" Target="https://www.diodes.com/datasheet/download/DMP25H18DLFDE.pdf" TargetMode="External"/><Relationship Id="rId_hyperlink_2054" Type="http://schemas.openxmlformats.org/officeDocument/2006/relationships/hyperlink" Target="https://www.diodes.com/part/view/DMP25H18DLFDE" TargetMode="External"/><Relationship Id="rId_hyperlink_2055" Type="http://schemas.openxmlformats.org/officeDocument/2006/relationships/hyperlink" Target="https://www.diodes.com/datasheet/download/DMP26M1UFG.pdf" TargetMode="External"/><Relationship Id="rId_hyperlink_2056" Type="http://schemas.openxmlformats.org/officeDocument/2006/relationships/hyperlink" Target="https://www.diodes.com/part/view/DMP26M1UFG" TargetMode="External"/><Relationship Id="rId_hyperlink_2057" Type="http://schemas.openxmlformats.org/officeDocument/2006/relationships/hyperlink" Target="https://www.diodes.com/datasheet/download/DMP26M1UPS.pdf" TargetMode="External"/><Relationship Id="rId_hyperlink_2058" Type="http://schemas.openxmlformats.org/officeDocument/2006/relationships/hyperlink" Target="https://www.diodes.com/part/view/DMP26M1UPS" TargetMode="External"/><Relationship Id="rId_hyperlink_2059" Type="http://schemas.openxmlformats.org/officeDocument/2006/relationships/hyperlink" Target="https://www.diodes.com/datasheet/download/DMP26M1UPSW.pdf" TargetMode="External"/><Relationship Id="rId_hyperlink_2060" Type="http://schemas.openxmlformats.org/officeDocument/2006/relationships/hyperlink" Target="https://www.diodes.com/part/view/DMP26M1UPSW" TargetMode="External"/><Relationship Id="rId_hyperlink_2061" Type="http://schemas.openxmlformats.org/officeDocument/2006/relationships/hyperlink" Target="https://www.diodes.com/datasheet/download/DMP26M1UPSWQ.pdf" TargetMode="External"/><Relationship Id="rId_hyperlink_2062" Type="http://schemas.openxmlformats.org/officeDocument/2006/relationships/hyperlink" Target="https://www.diodes.com/part/view/DMP26M1UPSWQ" TargetMode="External"/><Relationship Id="rId_hyperlink_2063" Type="http://schemas.openxmlformats.org/officeDocument/2006/relationships/hyperlink" Target="https://www.diodes.com/datasheet/download/DMP26M7UFG.pdf" TargetMode="External"/><Relationship Id="rId_hyperlink_2064" Type="http://schemas.openxmlformats.org/officeDocument/2006/relationships/hyperlink" Target="https://www.diodes.com/part/view/DMP26M7UFG" TargetMode="External"/><Relationship Id="rId_hyperlink_2065" Type="http://schemas.openxmlformats.org/officeDocument/2006/relationships/hyperlink" Target="https://www.diodes.com/datasheet/download/DMP27M1UPSW.pdf" TargetMode="External"/><Relationship Id="rId_hyperlink_2066" Type="http://schemas.openxmlformats.org/officeDocument/2006/relationships/hyperlink" Target="https://www.diodes.com/part/view/DMP27M1UPSW" TargetMode="External"/><Relationship Id="rId_hyperlink_2067" Type="http://schemas.openxmlformats.org/officeDocument/2006/relationships/hyperlink" Target="https://www.diodes.com/datasheet/download/DMP27M1UPSWQ.pdf" TargetMode="External"/><Relationship Id="rId_hyperlink_2068" Type="http://schemas.openxmlformats.org/officeDocument/2006/relationships/hyperlink" Target="https://www.diodes.com/part/view/DMP27M1UPSWQ" TargetMode="External"/><Relationship Id="rId_hyperlink_2069" Type="http://schemas.openxmlformats.org/officeDocument/2006/relationships/hyperlink" Target="https://www.diodes.com/datasheet/download/DMP2900UDW.pdf" TargetMode="External"/><Relationship Id="rId_hyperlink_2070" Type="http://schemas.openxmlformats.org/officeDocument/2006/relationships/hyperlink" Target="https://www.diodes.com/part/view/DMP2900UDW" TargetMode="External"/><Relationship Id="rId_hyperlink_2071" Type="http://schemas.openxmlformats.org/officeDocument/2006/relationships/hyperlink" Target="https://www.diodes.com/datasheet/download/DMP2900UDWQ.pdf" TargetMode="External"/><Relationship Id="rId_hyperlink_2072" Type="http://schemas.openxmlformats.org/officeDocument/2006/relationships/hyperlink" Target="https://www.diodes.com/part/view/DMP2900UDWQ" TargetMode="External"/><Relationship Id="rId_hyperlink_2073" Type="http://schemas.openxmlformats.org/officeDocument/2006/relationships/hyperlink" Target="https://www.diodes.com/datasheet/download/DMP2900UFB.pdf" TargetMode="External"/><Relationship Id="rId_hyperlink_2074" Type="http://schemas.openxmlformats.org/officeDocument/2006/relationships/hyperlink" Target="https://www.diodes.com/part/view/DMP2900UFB" TargetMode="External"/><Relationship Id="rId_hyperlink_2075" Type="http://schemas.openxmlformats.org/officeDocument/2006/relationships/hyperlink" Target="https://www.diodes.com/datasheet/download/DMP2900UFBQ.pdf" TargetMode="External"/><Relationship Id="rId_hyperlink_2076" Type="http://schemas.openxmlformats.org/officeDocument/2006/relationships/hyperlink" Target="https://www.diodes.com/part/view/DMP2900UFBQ" TargetMode="External"/><Relationship Id="rId_hyperlink_2077" Type="http://schemas.openxmlformats.org/officeDocument/2006/relationships/hyperlink" Target="https://www.diodes.com/datasheet/download/DMP2900UT.pdf" TargetMode="External"/><Relationship Id="rId_hyperlink_2078" Type="http://schemas.openxmlformats.org/officeDocument/2006/relationships/hyperlink" Target="https://www.diodes.com/part/view/DMP2900UT" TargetMode="External"/><Relationship Id="rId_hyperlink_2079" Type="http://schemas.openxmlformats.org/officeDocument/2006/relationships/hyperlink" Target="https://www.diodes.com/datasheet/download/DMP2900UTQ.pdf" TargetMode="External"/><Relationship Id="rId_hyperlink_2080" Type="http://schemas.openxmlformats.org/officeDocument/2006/relationships/hyperlink" Target="https://www.diodes.com/part/view/DMP2900UTQ" TargetMode="External"/><Relationship Id="rId_hyperlink_2081" Type="http://schemas.openxmlformats.org/officeDocument/2006/relationships/hyperlink" Target="https://www.diodes.com/datasheet/download/DMP2900UV.pdf" TargetMode="External"/><Relationship Id="rId_hyperlink_2082" Type="http://schemas.openxmlformats.org/officeDocument/2006/relationships/hyperlink" Target="https://www.diodes.com/part/view/DMP2900UV" TargetMode="External"/><Relationship Id="rId_hyperlink_2083" Type="http://schemas.openxmlformats.org/officeDocument/2006/relationships/hyperlink" Target="https://www.diodes.com/datasheet/download/DMP2900UVQ.pdf" TargetMode="External"/><Relationship Id="rId_hyperlink_2084" Type="http://schemas.openxmlformats.org/officeDocument/2006/relationships/hyperlink" Target="https://www.diodes.com/part/view/DMP2900UVQ" TargetMode="External"/><Relationship Id="rId_hyperlink_2085" Type="http://schemas.openxmlformats.org/officeDocument/2006/relationships/hyperlink" Target="https://www.diodes.com/datasheet/download/DMP2900UW.pdf" TargetMode="External"/><Relationship Id="rId_hyperlink_2086" Type="http://schemas.openxmlformats.org/officeDocument/2006/relationships/hyperlink" Target="https://www.diodes.com/part/view/DMP2900UW" TargetMode="External"/><Relationship Id="rId_hyperlink_2087" Type="http://schemas.openxmlformats.org/officeDocument/2006/relationships/hyperlink" Target="https://www.diodes.com/datasheet/download/DMP2900UWQ.pdf" TargetMode="External"/><Relationship Id="rId_hyperlink_2088" Type="http://schemas.openxmlformats.org/officeDocument/2006/relationships/hyperlink" Target="https://www.diodes.com/part/view/DMP2900UWQ" TargetMode="External"/><Relationship Id="rId_hyperlink_2089" Type="http://schemas.openxmlformats.org/officeDocument/2006/relationships/hyperlink" Target="https://www.diodes.com/datasheet/download/DMP3004SSS.pdf" TargetMode="External"/><Relationship Id="rId_hyperlink_2090" Type="http://schemas.openxmlformats.org/officeDocument/2006/relationships/hyperlink" Target="https://www.diodes.com/part/view/DMP3004SSS" TargetMode="External"/><Relationship Id="rId_hyperlink_2091" Type="http://schemas.openxmlformats.org/officeDocument/2006/relationships/hyperlink" Target="https://www.diodes.com/datasheet/download/DMP3006LPSW.pdf" TargetMode="External"/><Relationship Id="rId_hyperlink_2092" Type="http://schemas.openxmlformats.org/officeDocument/2006/relationships/hyperlink" Target="https://www.diodes.com/part/view/DMP3006LPSW" TargetMode="External"/><Relationship Id="rId_hyperlink_2093" Type="http://schemas.openxmlformats.org/officeDocument/2006/relationships/hyperlink" Target="https://www.diodes.com/datasheet/download/DMP3006LPSWQ.pdf" TargetMode="External"/><Relationship Id="rId_hyperlink_2094" Type="http://schemas.openxmlformats.org/officeDocument/2006/relationships/hyperlink" Target="https://www.diodes.com/part/view/DMP3006LPSWQ" TargetMode="External"/><Relationship Id="rId_hyperlink_2095" Type="http://schemas.openxmlformats.org/officeDocument/2006/relationships/hyperlink" Target="https://www.diodes.com/datasheet/download/DMP3007LK3.pdf" TargetMode="External"/><Relationship Id="rId_hyperlink_2096" Type="http://schemas.openxmlformats.org/officeDocument/2006/relationships/hyperlink" Target="https://www.diodes.com/part/view/DMP3007LK3" TargetMode="External"/><Relationship Id="rId_hyperlink_2097" Type="http://schemas.openxmlformats.org/officeDocument/2006/relationships/hyperlink" Target="https://www.diodes.com/datasheet/download/DMP3007LK3Q.pdf" TargetMode="External"/><Relationship Id="rId_hyperlink_2098" Type="http://schemas.openxmlformats.org/officeDocument/2006/relationships/hyperlink" Target="https://www.diodes.com/part/view/DMP3007LK3Q" TargetMode="External"/><Relationship Id="rId_hyperlink_2099" Type="http://schemas.openxmlformats.org/officeDocument/2006/relationships/hyperlink" Target="https://www.diodes.com/datasheet/download/DMP3007LSS.pdf" TargetMode="External"/><Relationship Id="rId_hyperlink_2100" Type="http://schemas.openxmlformats.org/officeDocument/2006/relationships/hyperlink" Target="https://www.diodes.com/part/view/DMP3007LSS" TargetMode="External"/><Relationship Id="rId_hyperlink_2101" Type="http://schemas.openxmlformats.org/officeDocument/2006/relationships/hyperlink" Target="https://www.diodes.com/datasheet/download/DMP3007SCG.pdf" TargetMode="External"/><Relationship Id="rId_hyperlink_2102" Type="http://schemas.openxmlformats.org/officeDocument/2006/relationships/hyperlink" Target="https://www.diodes.com/part/view/DMP3007SCG" TargetMode="External"/><Relationship Id="rId_hyperlink_2103" Type="http://schemas.openxmlformats.org/officeDocument/2006/relationships/hyperlink" Target="https://www.diodes.com/datasheet/download/DMP3007SCGQ.pdf" TargetMode="External"/><Relationship Id="rId_hyperlink_2104" Type="http://schemas.openxmlformats.org/officeDocument/2006/relationships/hyperlink" Target="https://www.diodes.com/part/view/DMP3007SCGQ" TargetMode="External"/><Relationship Id="rId_hyperlink_2105" Type="http://schemas.openxmlformats.org/officeDocument/2006/relationships/hyperlink" Target="https://www.diodes.com/datasheet/download/DMP3007SFG.pdf" TargetMode="External"/><Relationship Id="rId_hyperlink_2106" Type="http://schemas.openxmlformats.org/officeDocument/2006/relationships/hyperlink" Target="https://www.diodes.com/part/view/DMP3007SFG" TargetMode="External"/><Relationship Id="rId_hyperlink_2107" Type="http://schemas.openxmlformats.org/officeDocument/2006/relationships/hyperlink" Target="https://www.diodes.com/datasheet/download/DMP3007SPS.pdf" TargetMode="External"/><Relationship Id="rId_hyperlink_2108" Type="http://schemas.openxmlformats.org/officeDocument/2006/relationships/hyperlink" Target="https://www.diodes.com/part/view/DMP3007SPS" TargetMode="External"/><Relationship Id="rId_hyperlink_2109" Type="http://schemas.openxmlformats.org/officeDocument/2006/relationships/hyperlink" Target="https://www.diodes.com/datasheet/download/DMP3007SPSQ.pdf" TargetMode="External"/><Relationship Id="rId_hyperlink_2110" Type="http://schemas.openxmlformats.org/officeDocument/2006/relationships/hyperlink" Target="https://www.diodes.com/part/view/DMP3007SPSQ" TargetMode="External"/><Relationship Id="rId_hyperlink_2111" Type="http://schemas.openxmlformats.org/officeDocument/2006/relationships/hyperlink" Target="https://www.diodes.com/datasheet/download/DMP3008SFGQ.pdf" TargetMode="External"/><Relationship Id="rId_hyperlink_2112" Type="http://schemas.openxmlformats.org/officeDocument/2006/relationships/hyperlink" Target="https://www.diodes.com/part/view/DMP3008SFGQ" TargetMode="External"/><Relationship Id="rId_hyperlink_2113" Type="http://schemas.openxmlformats.org/officeDocument/2006/relationships/hyperlink" Target="https://www.diodes.com/datasheet/download/DMP3011SFK.pdf" TargetMode="External"/><Relationship Id="rId_hyperlink_2114" Type="http://schemas.openxmlformats.org/officeDocument/2006/relationships/hyperlink" Target="https://www.diodes.com/part/view/DMP3011SFK" TargetMode="External"/><Relationship Id="rId_hyperlink_2115" Type="http://schemas.openxmlformats.org/officeDocument/2006/relationships/hyperlink" Target="https://www.diodes.com/datasheet/download/DMP3011SFVW.pdf" TargetMode="External"/><Relationship Id="rId_hyperlink_2116" Type="http://schemas.openxmlformats.org/officeDocument/2006/relationships/hyperlink" Target="https://www.diodes.com/part/view/DMP3011SFVW" TargetMode="External"/><Relationship Id="rId_hyperlink_2117" Type="http://schemas.openxmlformats.org/officeDocument/2006/relationships/hyperlink" Target="https://www.diodes.com/datasheet/download/DMP3011SFVWQ.pdf" TargetMode="External"/><Relationship Id="rId_hyperlink_2118" Type="http://schemas.openxmlformats.org/officeDocument/2006/relationships/hyperlink" Target="https://www.diodes.com/part/view/DMP3011SFVWQ" TargetMode="External"/><Relationship Id="rId_hyperlink_2119" Type="http://schemas.openxmlformats.org/officeDocument/2006/relationships/hyperlink" Target="https://www.diodes.com/datasheet/download/DMP3011SPDW.pdf" TargetMode="External"/><Relationship Id="rId_hyperlink_2120" Type="http://schemas.openxmlformats.org/officeDocument/2006/relationships/hyperlink" Target="https://www.diodes.com/part/view/DMP3011SPDW" TargetMode="External"/><Relationship Id="rId_hyperlink_2121" Type="http://schemas.openxmlformats.org/officeDocument/2006/relationships/hyperlink" Target="https://www.diodes.com/datasheet/download/DMP3011SPSW.pdf" TargetMode="External"/><Relationship Id="rId_hyperlink_2122" Type="http://schemas.openxmlformats.org/officeDocument/2006/relationships/hyperlink" Target="https://www.diodes.com/part/view/DMP3011SPSW" TargetMode="External"/><Relationship Id="rId_hyperlink_2123" Type="http://schemas.openxmlformats.org/officeDocument/2006/relationships/hyperlink" Target="https://www.diodes.com/datasheet/download/DMP3011SSS.pdf" TargetMode="External"/><Relationship Id="rId_hyperlink_2124" Type="http://schemas.openxmlformats.org/officeDocument/2006/relationships/hyperlink" Target="https://www.diodes.com/part/view/DMP3011SSS" TargetMode="External"/><Relationship Id="rId_hyperlink_2125" Type="http://schemas.openxmlformats.org/officeDocument/2006/relationships/hyperlink" Target="https://www.diodes.com/datasheet/download/DMP3012LPS.pdf" TargetMode="External"/><Relationship Id="rId_hyperlink_2126" Type="http://schemas.openxmlformats.org/officeDocument/2006/relationships/hyperlink" Target="https://www.diodes.com/part/view/DMP3012LPS" TargetMode="External"/><Relationship Id="rId_hyperlink_2127" Type="http://schemas.openxmlformats.org/officeDocument/2006/relationships/hyperlink" Target="https://www.diodes.com/datasheet/download/DMP3012SPSW.pdf" TargetMode="External"/><Relationship Id="rId_hyperlink_2128" Type="http://schemas.openxmlformats.org/officeDocument/2006/relationships/hyperlink" Target="https://www.diodes.com/part/view/DMP3012SPSW" TargetMode="External"/><Relationship Id="rId_hyperlink_2129" Type="http://schemas.openxmlformats.org/officeDocument/2006/relationships/hyperlink" Target="https://www.diodes.com/datasheet/download/DMP3013SFK.pdf" TargetMode="External"/><Relationship Id="rId_hyperlink_2130" Type="http://schemas.openxmlformats.org/officeDocument/2006/relationships/hyperlink" Target="https://www.diodes.com/part/view/DMP3013SFK" TargetMode="External"/><Relationship Id="rId_hyperlink_2131" Type="http://schemas.openxmlformats.org/officeDocument/2006/relationships/hyperlink" Target="https://www.diodes.com/datasheet/download/DMP3013SFV.pdf" TargetMode="External"/><Relationship Id="rId_hyperlink_2132" Type="http://schemas.openxmlformats.org/officeDocument/2006/relationships/hyperlink" Target="https://www.diodes.com/part/view/DMP3013SFV" TargetMode="External"/><Relationship Id="rId_hyperlink_2133" Type="http://schemas.openxmlformats.org/officeDocument/2006/relationships/hyperlink" Target="https://www.diodes.com/datasheet/download/DMP3014SFDE.pdf" TargetMode="External"/><Relationship Id="rId_hyperlink_2134" Type="http://schemas.openxmlformats.org/officeDocument/2006/relationships/hyperlink" Target="https://www.diodes.com/part/view/DMP3014SFDE" TargetMode="External"/><Relationship Id="rId_hyperlink_2135" Type="http://schemas.openxmlformats.org/officeDocument/2006/relationships/hyperlink" Target="https://www.diodes.com/datasheet/download/DMP3017SFK.pdf" TargetMode="External"/><Relationship Id="rId_hyperlink_2136" Type="http://schemas.openxmlformats.org/officeDocument/2006/relationships/hyperlink" Target="https://www.diodes.com/part/view/DMP3017SFK" TargetMode="External"/><Relationship Id="rId_hyperlink_2137" Type="http://schemas.openxmlformats.org/officeDocument/2006/relationships/hyperlink" Target="https://www.diodes.com/datasheet/download/DMP3018SFK.pdf" TargetMode="External"/><Relationship Id="rId_hyperlink_2138" Type="http://schemas.openxmlformats.org/officeDocument/2006/relationships/hyperlink" Target="https://www.diodes.com/part/view/DMP3018SFK" TargetMode="External"/><Relationship Id="rId_hyperlink_2139" Type="http://schemas.openxmlformats.org/officeDocument/2006/relationships/hyperlink" Target="https://www.diodes.com/datasheet/download/DMP3018SFV.pdf" TargetMode="External"/><Relationship Id="rId_hyperlink_2140" Type="http://schemas.openxmlformats.org/officeDocument/2006/relationships/hyperlink" Target="https://www.diodes.com/part/view/DMP3018SFV" TargetMode="External"/><Relationship Id="rId_hyperlink_2141" Type="http://schemas.openxmlformats.org/officeDocument/2006/relationships/hyperlink" Target="https://www.diodes.com/datasheet/download/DMP3018SSS.pdf" TargetMode="External"/><Relationship Id="rId_hyperlink_2142" Type="http://schemas.openxmlformats.org/officeDocument/2006/relationships/hyperlink" Target="https://www.diodes.com/part/view/DMP3018SSS" TargetMode="External"/><Relationship Id="rId_hyperlink_2143" Type="http://schemas.openxmlformats.org/officeDocument/2006/relationships/hyperlink" Target="https://www.diodes.com/datasheet/download/DMP3020LSS.pdf" TargetMode="External"/><Relationship Id="rId_hyperlink_2144" Type="http://schemas.openxmlformats.org/officeDocument/2006/relationships/hyperlink" Target="https://www.diodes.com/part/view/DMP3020LSS" TargetMode="External"/><Relationship Id="rId_hyperlink_2145" Type="http://schemas.openxmlformats.org/officeDocument/2006/relationships/hyperlink" Target="https://www.diodes.com/datasheet/download/DMP3021SFVW.pdf" TargetMode="External"/><Relationship Id="rId_hyperlink_2146" Type="http://schemas.openxmlformats.org/officeDocument/2006/relationships/hyperlink" Target="https://www.diodes.com/part/view/DMP3021SFVW" TargetMode="External"/><Relationship Id="rId_hyperlink_2147" Type="http://schemas.openxmlformats.org/officeDocument/2006/relationships/hyperlink" Target="https://www.diodes.com/datasheet/download/DMP3021SFVWQ.pdf" TargetMode="External"/><Relationship Id="rId_hyperlink_2148" Type="http://schemas.openxmlformats.org/officeDocument/2006/relationships/hyperlink" Target="https://www.diodes.com/part/view/DMP3021SFVWQ" TargetMode="External"/><Relationship Id="rId_hyperlink_2149" Type="http://schemas.openxmlformats.org/officeDocument/2006/relationships/hyperlink" Target="https://www.diodes.com/datasheet/download/DMP3021SPDW.pdf" TargetMode="External"/><Relationship Id="rId_hyperlink_2150" Type="http://schemas.openxmlformats.org/officeDocument/2006/relationships/hyperlink" Target="https://www.diodes.com/part/view/DMP3021SPDW" TargetMode="External"/><Relationship Id="rId_hyperlink_2151" Type="http://schemas.openxmlformats.org/officeDocument/2006/relationships/hyperlink" Target="https://www.diodes.com/datasheet/download/DMP3021SPSW.pdf" TargetMode="External"/><Relationship Id="rId_hyperlink_2152" Type="http://schemas.openxmlformats.org/officeDocument/2006/relationships/hyperlink" Target="https://www.diodes.com/part/view/DMP3021SPSW" TargetMode="External"/><Relationship Id="rId_hyperlink_2153" Type="http://schemas.openxmlformats.org/officeDocument/2006/relationships/hyperlink" Target="https://www.diodes.com/datasheet/download/DMP3021SSS.pdf" TargetMode="External"/><Relationship Id="rId_hyperlink_2154" Type="http://schemas.openxmlformats.org/officeDocument/2006/relationships/hyperlink" Target="https://www.diodes.com/part/view/DMP3021SSS" TargetMode="External"/><Relationship Id="rId_hyperlink_2155" Type="http://schemas.openxmlformats.org/officeDocument/2006/relationships/hyperlink" Target="https://www.diodes.com/datasheet/download/DMP3025SFDF.pdf" TargetMode="External"/><Relationship Id="rId_hyperlink_2156" Type="http://schemas.openxmlformats.org/officeDocument/2006/relationships/hyperlink" Target="https://www.diodes.com/part/view/DMP3025SFDF" TargetMode="External"/><Relationship Id="rId_hyperlink_2157" Type="http://schemas.openxmlformats.org/officeDocument/2006/relationships/hyperlink" Target="https://www.diodes.com/datasheet/download/DMP3026SFDE.pdf" TargetMode="External"/><Relationship Id="rId_hyperlink_2158" Type="http://schemas.openxmlformats.org/officeDocument/2006/relationships/hyperlink" Target="https://www.diodes.com/part/view/DMP3026SFDE" TargetMode="External"/><Relationship Id="rId_hyperlink_2159" Type="http://schemas.openxmlformats.org/officeDocument/2006/relationships/hyperlink" Target="https://www.diodes.com/datasheet/download/DMP3026SFDF.pdf" TargetMode="External"/><Relationship Id="rId_hyperlink_2160" Type="http://schemas.openxmlformats.org/officeDocument/2006/relationships/hyperlink" Target="https://www.diodes.com/part/view/DMP3026SFDF" TargetMode="External"/><Relationship Id="rId_hyperlink_2161" Type="http://schemas.openxmlformats.org/officeDocument/2006/relationships/hyperlink" Target="https://www.diodes.com/datasheet/download/DMP3027LFDE.pdf" TargetMode="External"/><Relationship Id="rId_hyperlink_2162" Type="http://schemas.openxmlformats.org/officeDocument/2006/relationships/hyperlink" Target="https://www.diodes.com/part/view/DMP3027LFDE" TargetMode="External"/><Relationship Id="rId_hyperlink_2163" Type="http://schemas.openxmlformats.org/officeDocument/2006/relationships/hyperlink" Target="https://www.diodes.com/datasheet/download/DMP3027LFDEQ.pdf" TargetMode="External"/><Relationship Id="rId_hyperlink_2164" Type="http://schemas.openxmlformats.org/officeDocument/2006/relationships/hyperlink" Target="https://www.diodes.com/part/view/DMP3027LFDEQ" TargetMode="External"/><Relationship Id="rId_hyperlink_2165" Type="http://schemas.openxmlformats.org/officeDocument/2006/relationships/hyperlink" Target="https://www.diodes.com/datasheet/download/DMP3028LFDE.pdf" TargetMode="External"/><Relationship Id="rId_hyperlink_2166" Type="http://schemas.openxmlformats.org/officeDocument/2006/relationships/hyperlink" Target="https://www.diodes.com/part/view/DMP3028LFDE" TargetMode="External"/><Relationship Id="rId_hyperlink_2167" Type="http://schemas.openxmlformats.org/officeDocument/2006/relationships/hyperlink" Target="https://www.diodes.com/datasheet/download/DMP3028LFDEQ.pdf" TargetMode="External"/><Relationship Id="rId_hyperlink_2168" Type="http://schemas.openxmlformats.org/officeDocument/2006/relationships/hyperlink" Target="https://www.diodes.com/part/view/DMP3028LFDEQ" TargetMode="External"/><Relationship Id="rId_hyperlink_2169" Type="http://schemas.openxmlformats.org/officeDocument/2006/relationships/hyperlink" Target="https://www.diodes.com/datasheet/download/DMP3028LK3.pdf" TargetMode="External"/><Relationship Id="rId_hyperlink_2170" Type="http://schemas.openxmlformats.org/officeDocument/2006/relationships/hyperlink" Target="https://www.diodes.com/part/view/DMP3028LK3" TargetMode="External"/><Relationship Id="rId_hyperlink_2171" Type="http://schemas.openxmlformats.org/officeDocument/2006/relationships/hyperlink" Target="https://www.diodes.com/datasheet/download/DMP3028LK3Q.pdf" TargetMode="External"/><Relationship Id="rId_hyperlink_2172" Type="http://schemas.openxmlformats.org/officeDocument/2006/relationships/hyperlink" Target="https://www.diodes.com/part/view/DMP3028LK3Q" TargetMode="External"/><Relationship Id="rId_hyperlink_2173" Type="http://schemas.openxmlformats.org/officeDocument/2006/relationships/hyperlink" Target="https://www.diodes.com/datasheet/download/DMP3028LPSQ.pdf" TargetMode="External"/><Relationship Id="rId_hyperlink_2174" Type="http://schemas.openxmlformats.org/officeDocument/2006/relationships/hyperlink" Target="https://www.diodes.com/part/view/DMP3028LPSQ" TargetMode="External"/><Relationship Id="rId_hyperlink_2175" Type="http://schemas.openxmlformats.org/officeDocument/2006/relationships/hyperlink" Target="https://www.diodes.com/datasheet/download/DMP3028LPSW.pdf" TargetMode="External"/><Relationship Id="rId_hyperlink_2176" Type="http://schemas.openxmlformats.org/officeDocument/2006/relationships/hyperlink" Target="https://www.diodes.com/part/view/DMP3028LPSW" TargetMode="External"/><Relationship Id="rId_hyperlink_2177" Type="http://schemas.openxmlformats.org/officeDocument/2006/relationships/hyperlink" Target="https://www.diodes.com/datasheet/download/DMP3028LSD.pdf" TargetMode="External"/><Relationship Id="rId_hyperlink_2178" Type="http://schemas.openxmlformats.org/officeDocument/2006/relationships/hyperlink" Target="https://www.diodes.com/part/view/DMP3028LSD" TargetMode="External"/><Relationship Id="rId_hyperlink_2179" Type="http://schemas.openxmlformats.org/officeDocument/2006/relationships/hyperlink" Target="https://www.diodes.com/datasheet/download/DMP3028LSDQ.pdf" TargetMode="External"/><Relationship Id="rId_hyperlink_2180" Type="http://schemas.openxmlformats.org/officeDocument/2006/relationships/hyperlink" Target="https://www.diodes.com/part/view/DMP3028LSDQ" TargetMode="External"/><Relationship Id="rId_hyperlink_2181" Type="http://schemas.openxmlformats.org/officeDocument/2006/relationships/hyperlink" Target="https://www.diodes.com/datasheet/download/DMP3030SN.pdf" TargetMode="External"/><Relationship Id="rId_hyperlink_2182" Type="http://schemas.openxmlformats.org/officeDocument/2006/relationships/hyperlink" Target="https://www.diodes.com/part/view/DMP3030SN" TargetMode="External"/><Relationship Id="rId_hyperlink_2183" Type="http://schemas.openxmlformats.org/officeDocument/2006/relationships/hyperlink" Target="https://www.diodes.com/datasheet/download/DMP3035LSS.pdf" TargetMode="External"/><Relationship Id="rId_hyperlink_2184" Type="http://schemas.openxmlformats.org/officeDocument/2006/relationships/hyperlink" Target="https://www.diodes.com/part/view/DMP3035LSS" TargetMode="External"/><Relationship Id="rId_hyperlink_2185" Type="http://schemas.openxmlformats.org/officeDocument/2006/relationships/hyperlink" Target="https://www.diodes.com/datasheet/download/DMP3036SFG.pdf" TargetMode="External"/><Relationship Id="rId_hyperlink_2186" Type="http://schemas.openxmlformats.org/officeDocument/2006/relationships/hyperlink" Target="https://www.diodes.com/part/view/DMP3036SFG" TargetMode="External"/><Relationship Id="rId_hyperlink_2187" Type="http://schemas.openxmlformats.org/officeDocument/2006/relationships/hyperlink" Target="https://www.diodes.com/datasheet/download/DMP3036SFV.pdf" TargetMode="External"/><Relationship Id="rId_hyperlink_2188" Type="http://schemas.openxmlformats.org/officeDocument/2006/relationships/hyperlink" Target="https://www.diodes.com/part/view/DMP3036SFV" TargetMode="External"/><Relationship Id="rId_hyperlink_2189" Type="http://schemas.openxmlformats.org/officeDocument/2006/relationships/hyperlink" Target="https://www.diodes.com/datasheet/download/DMP3036SFVQ.pdf" TargetMode="External"/><Relationship Id="rId_hyperlink_2190" Type="http://schemas.openxmlformats.org/officeDocument/2006/relationships/hyperlink" Target="https://www.diodes.com/part/view/DMP3036SFVQ" TargetMode="External"/><Relationship Id="rId_hyperlink_2191" Type="http://schemas.openxmlformats.org/officeDocument/2006/relationships/hyperlink" Target="https://www.diodes.com/datasheet/download/DMP3036SSD.pdf" TargetMode="External"/><Relationship Id="rId_hyperlink_2192" Type="http://schemas.openxmlformats.org/officeDocument/2006/relationships/hyperlink" Target="https://www.diodes.com/part/view/DMP3036SSD" TargetMode="External"/><Relationship Id="rId_hyperlink_2193" Type="http://schemas.openxmlformats.org/officeDocument/2006/relationships/hyperlink" Target="https://www.diodes.com/datasheet/download/DMP3036SSS.pdf" TargetMode="External"/><Relationship Id="rId_hyperlink_2194" Type="http://schemas.openxmlformats.org/officeDocument/2006/relationships/hyperlink" Target="https://www.diodes.com/part/view/DMP3036SSS" TargetMode="External"/><Relationship Id="rId_hyperlink_2195" Type="http://schemas.openxmlformats.org/officeDocument/2006/relationships/hyperlink" Target="https://www.diodes.com/datasheet/download/DMP3037LSS.pdf" TargetMode="External"/><Relationship Id="rId_hyperlink_2196" Type="http://schemas.openxmlformats.org/officeDocument/2006/relationships/hyperlink" Target="https://www.diodes.com/part/view/DMP3037LSS" TargetMode="External"/><Relationship Id="rId_hyperlink_2197" Type="http://schemas.openxmlformats.org/officeDocument/2006/relationships/hyperlink" Target="https://www.diodes.com/datasheet/download/DMP3037LSSQ.pdf" TargetMode="External"/><Relationship Id="rId_hyperlink_2198" Type="http://schemas.openxmlformats.org/officeDocument/2006/relationships/hyperlink" Target="https://www.diodes.com/part/view/DMP3037LSSQ" TargetMode="External"/><Relationship Id="rId_hyperlink_2199" Type="http://schemas.openxmlformats.org/officeDocument/2006/relationships/hyperlink" Target="https://www.diodes.com/datasheet/download/DMP3045LFVW.pdf" TargetMode="External"/><Relationship Id="rId_hyperlink_2200" Type="http://schemas.openxmlformats.org/officeDocument/2006/relationships/hyperlink" Target="https://www.diodes.com/part/view/DMP3045LFVW" TargetMode="External"/><Relationship Id="rId_hyperlink_2201" Type="http://schemas.openxmlformats.org/officeDocument/2006/relationships/hyperlink" Target="https://www.diodes.com/datasheet/download/DMP3045LFVWQ.pdf" TargetMode="External"/><Relationship Id="rId_hyperlink_2202" Type="http://schemas.openxmlformats.org/officeDocument/2006/relationships/hyperlink" Target="https://www.diodes.com/part/view/DMP3045LFVWQ" TargetMode="External"/><Relationship Id="rId_hyperlink_2203" Type="http://schemas.openxmlformats.org/officeDocument/2006/relationships/hyperlink" Target="https://www.diodes.com/datasheet/download/DMP3045LVT.pdf" TargetMode="External"/><Relationship Id="rId_hyperlink_2204" Type="http://schemas.openxmlformats.org/officeDocument/2006/relationships/hyperlink" Target="https://www.diodes.com/part/view/DMP3045LVT" TargetMode="External"/><Relationship Id="rId_hyperlink_2205" Type="http://schemas.openxmlformats.org/officeDocument/2006/relationships/hyperlink" Target="https://www.diodes.com/datasheet/download/DMP3045LVTQ.pdf" TargetMode="External"/><Relationship Id="rId_hyperlink_2206" Type="http://schemas.openxmlformats.org/officeDocument/2006/relationships/hyperlink" Target="https://www.diodes.com/part/view/DMP3045LVTQ" TargetMode="External"/><Relationship Id="rId_hyperlink_2207" Type="http://schemas.openxmlformats.org/officeDocument/2006/relationships/hyperlink" Target="https://www.diodes.com/datasheet/download/DMP3048LSD.pdf" TargetMode="External"/><Relationship Id="rId_hyperlink_2208" Type="http://schemas.openxmlformats.org/officeDocument/2006/relationships/hyperlink" Target="https://www.diodes.com/part/view/DMP3048LSD" TargetMode="External"/><Relationship Id="rId_hyperlink_2209" Type="http://schemas.openxmlformats.org/officeDocument/2006/relationships/hyperlink" Target="https://www.diodes.com/datasheet/download/DMP3050LSS.pdf" TargetMode="External"/><Relationship Id="rId_hyperlink_2210" Type="http://schemas.openxmlformats.org/officeDocument/2006/relationships/hyperlink" Target="https://www.diodes.com/part/view/DMP3050LSS" TargetMode="External"/><Relationship Id="rId_hyperlink_2211" Type="http://schemas.openxmlformats.org/officeDocument/2006/relationships/hyperlink" Target="https://www.diodes.com/datasheet/download/DMP3050LVT.pdf" TargetMode="External"/><Relationship Id="rId_hyperlink_2212" Type="http://schemas.openxmlformats.org/officeDocument/2006/relationships/hyperlink" Target="https://www.diodes.com/part/view/DMP3050LVT" TargetMode="External"/><Relationship Id="rId_hyperlink_2213" Type="http://schemas.openxmlformats.org/officeDocument/2006/relationships/hyperlink" Target="https://www.diodes.com/datasheet/download/DMP3050LVTQ.pdf" TargetMode="External"/><Relationship Id="rId_hyperlink_2214" Type="http://schemas.openxmlformats.org/officeDocument/2006/relationships/hyperlink" Target="https://www.diodes.com/part/view/DMP3050LVTQ" TargetMode="External"/><Relationship Id="rId_hyperlink_2215" Type="http://schemas.openxmlformats.org/officeDocument/2006/relationships/hyperlink" Target="https://www.diodes.com/datasheet/download/DMP3056L.pdf" TargetMode="External"/><Relationship Id="rId_hyperlink_2216" Type="http://schemas.openxmlformats.org/officeDocument/2006/relationships/hyperlink" Target="https://www.diodes.com/part/view/DMP3056L" TargetMode="External"/><Relationship Id="rId_hyperlink_2217" Type="http://schemas.openxmlformats.org/officeDocument/2006/relationships/hyperlink" Target="https://www.diodes.com/datasheet/download/DMP3056LDM.pdf" TargetMode="External"/><Relationship Id="rId_hyperlink_2218" Type="http://schemas.openxmlformats.org/officeDocument/2006/relationships/hyperlink" Target="https://www.diodes.com/part/view/DMP3056LDM" TargetMode="External"/><Relationship Id="rId_hyperlink_2219" Type="http://schemas.openxmlformats.org/officeDocument/2006/relationships/hyperlink" Target="https://www.diodes.com/datasheet/download/DMP3056LSD.pdf" TargetMode="External"/><Relationship Id="rId_hyperlink_2220" Type="http://schemas.openxmlformats.org/officeDocument/2006/relationships/hyperlink" Target="https://www.diodes.com/part/view/DMP3056LSD" TargetMode="External"/><Relationship Id="rId_hyperlink_2221" Type="http://schemas.openxmlformats.org/officeDocument/2006/relationships/hyperlink" Target="https://www.diodes.com/datasheet/download/DMP3056LSDQ.pdf" TargetMode="External"/><Relationship Id="rId_hyperlink_2222" Type="http://schemas.openxmlformats.org/officeDocument/2006/relationships/hyperlink" Target="https://www.diodes.com/part/view/DMP3056LSDQ" TargetMode="External"/><Relationship Id="rId_hyperlink_2223" Type="http://schemas.openxmlformats.org/officeDocument/2006/relationships/hyperlink" Target="https://www.diodes.com/datasheet/download/DMP3056LSS.pdf" TargetMode="External"/><Relationship Id="rId_hyperlink_2224" Type="http://schemas.openxmlformats.org/officeDocument/2006/relationships/hyperlink" Target="https://www.diodes.com/part/view/DMP3056LSS" TargetMode="External"/><Relationship Id="rId_hyperlink_2225" Type="http://schemas.openxmlformats.org/officeDocument/2006/relationships/hyperlink" Target="https://www.diodes.com/datasheet/download/DMP3056LSSQ.pdf" TargetMode="External"/><Relationship Id="rId_hyperlink_2226" Type="http://schemas.openxmlformats.org/officeDocument/2006/relationships/hyperlink" Target="https://www.diodes.com/part/view/DMP3056LSSQ" TargetMode="External"/><Relationship Id="rId_hyperlink_2227" Type="http://schemas.openxmlformats.org/officeDocument/2006/relationships/hyperlink" Target="https://www.diodes.com/datasheet/download/DMP3065LVT.pdf" TargetMode="External"/><Relationship Id="rId_hyperlink_2228" Type="http://schemas.openxmlformats.org/officeDocument/2006/relationships/hyperlink" Target="https://www.diodes.com/part/view/DMP3065LVT" TargetMode="External"/><Relationship Id="rId_hyperlink_2229" Type="http://schemas.openxmlformats.org/officeDocument/2006/relationships/hyperlink" Target="https://www.diodes.com/datasheet/download/DMP3068L.pdf" TargetMode="External"/><Relationship Id="rId_hyperlink_2230" Type="http://schemas.openxmlformats.org/officeDocument/2006/relationships/hyperlink" Target="https://www.diodes.com/part/view/DMP3068L" TargetMode="External"/><Relationship Id="rId_hyperlink_2231" Type="http://schemas.openxmlformats.org/officeDocument/2006/relationships/hyperlink" Target="https://www.diodes.com/datasheet/download/DMP3068LVT.pdf" TargetMode="External"/><Relationship Id="rId_hyperlink_2232" Type="http://schemas.openxmlformats.org/officeDocument/2006/relationships/hyperlink" Target="https://www.diodes.com/part/view/DMP3068LVT" TargetMode="External"/><Relationship Id="rId_hyperlink_2233" Type="http://schemas.openxmlformats.org/officeDocument/2006/relationships/hyperlink" Target="https://www.diodes.com/datasheet/download/DMP3085LSD.pdf" TargetMode="External"/><Relationship Id="rId_hyperlink_2234" Type="http://schemas.openxmlformats.org/officeDocument/2006/relationships/hyperlink" Target="https://www.diodes.com/part/view/DMP3085LSD" TargetMode="External"/><Relationship Id="rId_hyperlink_2235" Type="http://schemas.openxmlformats.org/officeDocument/2006/relationships/hyperlink" Target="https://www.diodes.com/datasheet/download/DMP3085LSS.pdf" TargetMode="External"/><Relationship Id="rId_hyperlink_2236" Type="http://schemas.openxmlformats.org/officeDocument/2006/relationships/hyperlink" Target="https://www.diodes.com/part/view/DMP3085LSS" TargetMode="External"/><Relationship Id="rId_hyperlink_2237" Type="http://schemas.openxmlformats.org/officeDocument/2006/relationships/hyperlink" Target="https://www.diodes.com/datasheet/download/DMP3096L.pdf" TargetMode="External"/><Relationship Id="rId_hyperlink_2238" Type="http://schemas.openxmlformats.org/officeDocument/2006/relationships/hyperlink" Target="https://www.diodes.com/part/view/DMP3096L" TargetMode="External"/><Relationship Id="rId_hyperlink_2239" Type="http://schemas.openxmlformats.org/officeDocument/2006/relationships/hyperlink" Target="https://www.diodes.com/datasheet/download/DMP3096LQ.pdf" TargetMode="External"/><Relationship Id="rId_hyperlink_2240" Type="http://schemas.openxmlformats.org/officeDocument/2006/relationships/hyperlink" Target="https://www.diodes.com/part/view/DMP3096LQ" TargetMode="External"/><Relationship Id="rId_hyperlink_2241" Type="http://schemas.openxmlformats.org/officeDocument/2006/relationships/hyperlink" Target="https://www.diodes.com/datasheet/download/DMP3097L.pdf" TargetMode="External"/><Relationship Id="rId_hyperlink_2242" Type="http://schemas.openxmlformats.org/officeDocument/2006/relationships/hyperlink" Target="https://www.diodes.com/part/view/DMP3097L" TargetMode="External"/><Relationship Id="rId_hyperlink_2243" Type="http://schemas.openxmlformats.org/officeDocument/2006/relationships/hyperlink" Target="https://www.diodes.com/datasheet/download/DMP3097LQ.pdf" TargetMode="External"/><Relationship Id="rId_hyperlink_2244" Type="http://schemas.openxmlformats.org/officeDocument/2006/relationships/hyperlink" Target="https://www.diodes.com/part/view/DMP3097LQ" TargetMode="External"/><Relationship Id="rId_hyperlink_2245" Type="http://schemas.openxmlformats.org/officeDocument/2006/relationships/hyperlink" Target="https://www.diodes.com/datasheet/download/DMP3098L.pdf" TargetMode="External"/><Relationship Id="rId_hyperlink_2246" Type="http://schemas.openxmlformats.org/officeDocument/2006/relationships/hyperlink" Target="https://www.diodes.com/part/view/DMP3098L" TargetMode="External"/><Relationship Id="rId_hyperlink_2247" Type="http://schemas.openxmlformats.org/officeDocument/2006/relationships/hyperlink" Target="https://www.diodes.com/datasheet/download/DMP3098LDM.pdf" TargetMode="External"/><Relationship Id="rId_hyperlink_2248" Type="http://schemas.openxmlformats.org/officeDocument/2006/relationships/hyperlink" Target="https://www.diodes.com/part/view/DMP3098LDM" TargetMode="External"/><Relationship Id="rId_hyperlink_2249" Type="http://schemas.openxmlformats.org/officeDocument/2006/relationships/hyperlink" Target="https://www.diodes.com/datasheet/download/DMP3098LQ.pdf" TargetMode="External"/><Relationship Id="rId_hyperlink_2250" Type="http://schemas.openxmlformats.org/officeDocument/2006/relationships/hyperlink" Target="https://www.diodes.com/part/view/DMP3098LQ" TargetMode="External"/><Relationship Id="rId_hyperlink_2251" Type="http://schemas.openxmlformats.org/officeDocument/2006/relationships/hyperlink" Target="https://www.diodes.com/datasheet/download/DMP3098LSD.pdf" TargetMode="External"/><Relationship Id="rId_hyperlink_2252" Type="http://schemas.openxmlformats.org/officeDocument/2006/relationships/hyperlink" Target="https://www.diodes.com/part/view/DMP3098LSD" TargetMode="External"/><Relationship Id="rId_hyperlink_2253" Type="http://schemas.openxmlformats.org/officeDocument/2006/relationships/hyperlink" Target="https://www.diodes.com/datasheet/download/DMP3098LSS.pdf" TargetMode="External"/><Relationship Id="rId_hyperlink_2254" Type="http://schemas.openxmlformats.org/officeDocument/2006/relationships/hyperlink" Target="https://www.diodes.com/part/view/DMP3098LSS" TargetMode="External"/><Relationship Id="rId_hyperlink_2255" Type="http://schemas.openxmlformats.org/officeDocument/2006/relationships/hyperlink" Target="https://www.diodes.com/datasheet/download/DMP3099L.pdf" TargetMode="External"/><Relationship Id="rId_hyperlink_2256" Type="http://schemas.openxmlformats.org/officeDocument/2006/relationships/hyperlink" Target="https://www.diodes.com/part/view/DMP3099L" TargetMode="External"/><Relationship Id="rId_hyperlink_2257" Type="http://schemas.openxmlformats.org/officeDocument/2006/relationships/hyperlink" Target="https://www.diodes.com/datasheet/download/DMP3099LQ.pdf" TargetMode="External"/><Relationship Id="rId_hyperlink_2258" Type="http://schemas.openxmlformats.org/officeDocument/2006/relationships/hyperlink" Target="https://www.diodes.com/part/view/DMP3099LQ" TargetMode="External"/><Relationship Id="rId_hyperlink_2259" Type="http://schemas.openxmlformats.org/officeDocument/2006/relationships/hyperlink" Target="https://www.diodes.com/datasheet/download/DMP3105LVT.pdf" TargetMode="External"/><Relationship Id="rId_hyperlink_2260" Type="http://schemas.openxmlformats.org/officeDocument/2006/relationships/hyperlink" Target="https://www.diodes.com/part/view/DMP3105LVT" TargetMode="External"/><Relationship Id="rId_hyperlink_2261" Type="http://schemas.openxmlformats.org/officeDocument/2006/relationships/hyperlink" Target="https://www.diodes.com/datasheet/download/DMP3125L.pdf" TargetMode="External"/><Relationship Id="rId_hyperlink_2262" Type="http://schemas.openxmlformats.org/officeDocument/2006/relationships/hyperlink" Target="https://www.diodes.com/part/view/DMP3125L" TargetMode="External"/><Relationship Id="rId_hyperlink_2263" Type="http://schemas.openxmlformats.org/officeDocument/2006/relationships/hyperlink" Target="https://www.diodes.com/datasheet/download/DMP3130LQ.pdf" TargetMode="External"/><Relationship Id="rId_hyperlink_2264" Type="http://schemas.openxmlformats.org/officeDocument/2006/relationships/hyperlink" Target="https://www.diodes.com/part/view/DMP3130LQ" TargetMode="External"/><Relationship Id="rId_hyperlink_2265" Type="http://schemas.openxmlformats.org/officeDocument/2006/relationships/hyperlink" Target="https://www.diodes.com/datasheet/download/DMP3160L.pdf" TargetMode="External"/><Relationship Id="rId_hyperlink_2266" Type="http://schemas.openxmlformats.org/officeDocument/2006/relationships/hyperlink" Target="https://www.diodes.com/part/view/DMP3160L" TargetMode="External"/><Relationship Id="rId_hyperlink_2267" Type="http://schemas.openxmlformats.org/officeDocument/2006/relationships/hyperlink" Target="https://www.diodes.com/datasheet/download/DMP3164LVT.pdf" TargetMode="External"/><Relationship Id="rId_hyperlink_2268" Type="http://schemas.openxmlformats.org/officeDocument/2006/relationships/hyperlink" Target="https://www.diodes.com/part/view/DMP3164LVT" TargetMode="External"/><Relationship Id="rId_hyperlink_2269" Type="http://schemas.openxmlformats.org/officeDocument/2006/relationships/hyperlink" Target="https://www.diodes.com/datasheet/download/DMP3165L.pdf" TargetMode="External"/><Relationship Id="rId_hyperlink_2270" Type="http://schemas.openxmlformats.org/officeDocument/2006/relationships/hyperlink" Target="https://www.diodes.com/part/view/DMP3165L" TargetMode="External"/><Relationship Id="rId_hyperlink_2271" Type="http://schemas.openxmlformats.org/officeDocument/2006/relationships/hyperlink" Target="https://www.diodes.com/datasheet/download/DMP3165LQ.pdf" TargetMode="External"/><Relationship Id="rId_hyperlink_2272" Type="http://schemas.openxmlformats.org/officeDocument/2006/relationships/hyperlink" Target="https://www.diodes.com/part/view/DMP3165LQ" TargetMode="External"/><Relationship Id="rId_hyperlink_2273" Type="http://schemas.openxmlformats.org/officeDocument/2006/relationships/hyperlink" Target="https://www.diodes.com/datasheet/download/DMP3165SVTQ.pdf" TargetMode="External"/><Relationship Id="rId_hyperlink_2274" Type="http://schemas.openxmlformats.org/officeDocument/2006/relationships/hyperlink" Target="https://www.diodes.com/part/view/DMP3165SVTQ" TargetMode="External"/><Relationship Id="rId_hyperlink_2275" Type="http://schemas.openxmlformats.org/officeDocument/2006/relationships/hyperlink" Target="https://www.diodes.com/datasheet/download/DMP31D0U.pdf" TargetMode="External"/><Relationship Id="rId_hyperlink_2276" Type="http://schemas.openxmlformats.org/officeDocument/2006/relationships/hyperlink" Target="https://www.diodes.com/part/view/DMP31D0U" TargetMode="External"/><Relationship Id="rId_hyperlink_2277" Type="http://schemas.openxmlformats.org/officeDocument/2006/relationships/hyperlink" Target="https://www.diodes.com/datasheet/download/DMP31D0UFB4.pdf" TargetMode="External"/><Relationship Id="rId_hyperlink_2278" Type="http://schemas.openxmlformats.org/officeDocument/2006/relationships/hyperlink" Target="https://www.diodes.com/part/view/DMP31D0UFB4" TargetMode="External"/><Relationship Id="rId_hyperlink_2279" Type="http://schemas.openxmlformats.org/officeDocument/2006/relationships/hyperlink" Target="https://www.diodes.com/datasheet/download/DMP31D1U.pdf" TargetMode="External"/><Relationship Id="rId_hyperlink_2280" Type="http://schemas.openxmlformats.org/officeDocument/2006/relationships/hyperlink" Target="https://www.diodes.com/part/view/DMP31D1U" TargetMode="External"/><Relationship Id="rId_hyperlink_2281" Type="http://schemas.openxmlformats.org/officeDocument/2006/relationships/hyperlink" Target="https://www.diodes.com/datasheet/download/DMP31D1UDW.pdf" TargetMode="External"/><Relationship Id="rId_hyperlink_2282" Type="http://schemas.openxmlformats.org/officeDocument/2006/relationships/hyperlink" Target="https://www.diodes.com/part/view/DMP31D1UDW" TargetMode="External"/><Relationship Id="rId_hyperlink_2283" Type="http://schemas.openxmlformats.org/officeDocument/2006/relationships/hyperlink" Target="https://www.diodes.com/datasheet/download/DMP31D1UDWQ.pdf" TargetMode="External"/><Relationship Id="rId_hyperlink_2284" Type="http://schemas.openxmlformats.org/officeDocument/2006/relationships/hyperlink" Target="https://www.diodes.com/part/view/DMP31D1UDWQ" TargetMode="External"/><Relationship Id="rId_hyperlink_2285" Type="http://schemas.openxmlformats.org/officeDocument/2006/relationships/hyperlink" Target="https://www.diodes.com/datasheet/download/DMP31D1UFB4.pdf" TargetMode="External"/><Relationship Id="rId_hyperlink_2286" Type="http://schemas.openxmlformats.org/officeDocument/2006/relationships/hyperlink" Target="https://www.diodes.com/part/view/DMP31D1UFB4" TargetMode="External"/><Relationship Id="rId_hyperlink_2287" Type="http://schemas.openxmlformats.org/officeDocument/2006/relationships/hyperlink" Target="https://www.diodes.com/datasheet/download/DMP31D1UFB4Q.pdf" TargetMode="External"/><Relationship Id="rId_hyperlink_2288" Type="http://schemas.openxmlformats.org/officeDocument/2006/relationships/hyperlink" Target="https://www.diodes.com/part/view/DMP31D1UFB4Q" TargetMode="External"/><Relationship Id="rId_hyperlink_2289" Type="http://schemas.openxmlformats.org/officeDocument/2006/relationships/hyperlink" Target="https://www.diodes.com/datasheet/download/DMP31D1UQ.pdf" TargetMode="External"/><Relationship Id="rId_hyperlink_2290" Type="http://schemas.openxmlformats.org/officeDocument/2006/relationships/hyperlink" Target="https://www.diodes.com/part/view/DMP31D1UQ" TargetMode="External"/><Relationship Id="rId_hyperlink_2291" Type="http://schemas.openxmlformats.org/officeDocument/2006/relationships/hyperlink" Target="https://www.diodes.com/datasheet/download/DMP31D1UVT.pdf" TargetMode="External"/><Relationship Id="rId_hyperlink_2292" Type="http://schemas.openxmlformats.org/officeDocument/2006/relationships/hyperlink" Target="https://www.diodes.com/part/view/DMP31D1UVT" TargetMode="External"/><Relationship Id="rId_hyperlink_2293" Type="http://schemas.openxmlformats.org/officeDocument/2006/relationships/hyperlink" Target="https://www.diodes.com/datasheet/download/DMP31D1UVTQ.pdf" TargetMode="External"/><Relationship Id="rId_hyperlink_2294" Type="http://schemas.openxmlformats.org/officeDocument/2006/relationships/hyperlink" Target="https://www.diodes.com/part/view/DMP31D1UVTQ" TargetMode="External"/><Relationship Id="rId_hyperlink_2295" Type="http://schemas.openxmlformats.org/officeDocument/2006/relationships/hyperlink" Target="https://www.diodes.com/datasheet/download/DMP31D1UW.pdf" TargetMode="External"/><Relationship Id="rId_hyperlink_2296" Type="http://schemas.openxmlformats.org/officeDocument/2006/relationships/hyperlink" Target="https://www.diodes.com/part/view/DMP31D1UW" TargetMode="External"/><Relationship Id="rId_hyperlink_2297" Type="http://schemas.openxmlformats.org/officeDocument/2006/relationships/hyperlink" Target="https://www.diodes.com/datasheet/download/DMP31D1UWQ.pdf" TargetMode="External"/><Relationship Id="rId_hyperlink_2298" Type="http://schemas.openxmlformats.org/officeDocument/2006/relationships/hyperlink" Target="https://www.diodes.com/part/view/DMP31D1UWQ" TargetMode="External"/><Relationship Id="rId_hyperlink_2299" Type="http://schemas.openxmlformats.org/officeDocument/2006/relationships/hyperlink" Target="https://www.diodes.com/datasheet/download/DMP31D7L.pdf" TargetMode="External"/><Relationship Id="rId_hyperlink_2300" Type="http://schemas.openxmlformats.org/officeDocument/2006/relationships/hyperlink" Target="https://www.diodes.com/part/view/DMP31D7L" TargetMode="External"/><Relationship Id="rId_hyperlink_2301" Type="http://schemas.openxmlformats.org/officeDocument/2006/relationships/hyperlink" Target="https://www.diodes.com/datasheet/download/DMP31D7LDW+.pdf" TargetMode="External"/><Relationship Id="rId_hyperlink_2302" Type="http://schemas.openxmlformats.org/officeDocument/2006/relationships/hyperlink" Target="https://www.diodes.com/part/view/DMP31D7LDW" TargetMode="External"/><Relationship Id="rId_hyperlink_2303" Type="http://schemas.openxmlformats.org/officeDocument/2006/relationships/hyperlink" Target="https://www.diodes.com/datasheet/download/DMP31D7LDWQ.pdf" TargetMode="External"/><Relationship Id="rId_hyperlink_2304" Type="http://schemas.openxmlformats.org/officeDocument/2006/relationships/hyperlink" Target="https://www.diodes.com/part/view/DMP31D7LDWQ" TargetMode="External"/><Relationship Id="rId_hyperlink_2305" Type="http://schemas.openxmlformats.org/officeDocument/2006/relationships/hyperlink" Target="https://www.diodes.com/datasheet/download/DMP31D7LFB.pdf" TargetMode="External"/><Relationship Id="rId_hyperlink_2306" Type="http://schemas.openxmlformats.org/officeDocument/2006/relationships/hyperlink" Target="https://www.diodes.com/part/view/DMP31D7LFB" TargetMode="External"/><Relationship Id="rId_hyperlink_2307" Type="http://schemas.openxmlformats.org/officeDocument/2006/relationships/hyperlink" Target="https://www.diodes.com/datasheet/download/DMP31D7LFBQ.pdf" TargetMode="External"/><Relationship Id="rId_hyperlink_2308" Type="http://schemas.openxmlformats.org/officeDocument/2006/relationships/hyperlink" Target="https://www.diodes.com/part/view/DMP31D7LFBQ" TargetMode="External"/><Relationship Id="rId_hyperlink_2309" Type="http://schemas.openxmlformats.org/officeDocument/2006/relationships/hyperlink" Target="https://www.diodes.com/datasheet/download/DMP31D7LQ.pdf" TargetMode="External"/><Relationship Id="rId_hyperlink_2310" Type="http://schemas.openxmlformats.org/officeDocument/2006/relationships/hyperlink" Target="https://www.diodes.com/part/view/DMP31D7LQ" TargetMode="External"/><Relationship Id="rId_hyperlink_2311" Type="http://schemas.openxmlformats.org/officeDocument/2006/relationships/hyperlink" Target="https://www.diodes.com/datasheet/download/DMP31D7LT.pdf" TargetMode="External"/><Relationship Id="rId_hyperlink_2312" Type="http://schemas.openxmlformats.org/officeDocument/2006/relationships/hyperlink" Target="https://www.diodes.com/part/view/DMP31D7LT" TargetMode="External"/><Relationship Id="rId_hyperlink_2313" Type="http://schemas.openxmlformats.org/officeDocument/2006/relationships/hyperlink" Target="https://www.diodes.com/datasheet/download/DMP31D7LTQ.pdf" TargetMode="External"/><Relationship Id="rId_hyperlink_2314" Type="http://schemas.openxmlformats.org/officeDocument/2006/relationships/hyperlink" Target="https://www.diodes.com/part/view/DMP31D7LTQ" TargetMode="External"/><Relationship Id="rId_hyperlink_2315" Type="http://schemas.openxmlformats.org/officeDocument/2006/relationships/hyperlink" Target="https://www.diodes.com/datasheet/download/DMP31D7LV.pdf" TargetMode="External"/><Relationship Id="rId_hyperlink_2316" Type="http://schemas.openxmlformats.org/officeDocument/2006/relationships/hyperlink" Target="https://www.diodes.com/part/view/DMP31D7LV" TargetMode="External"/><Relationship Id="rId_hyperlink_2317" Type="http://schemas.openxmlformats.org/officeDocument/2006/relationships/hyperlink" Target="https://www.diodes.com/datasheet/download/DMP31D7LVQ.pdf" TargetMode="External"/><Relationship Id="rId_hyperlink_2318" Type="http://schemas.openxmlformats.org/officeDocument/2006/relationships/hyperlink" Target="https://www.diodes.com/part/view/DMP31D7LVQ" TargetMode="External"/><Relationship Id="rId_hyperlink_2319" Type="http://schemas.openxmlformats.org/officeDocument/2006/relationships/hyperlink" Target="https://www.diodes.com/datasheet/download/DMP31D7LW.pdf" TargetMode="External"/><Relationship Id="rId_hyperlink_2320" Type="http://schemas.openxmlformats.org/officeDocument/2006/relationships/hyperlink" Target="https://www.diodes.com/part/view/DMP31D7LW" TargetMode="External"/><Relationship Id="rId_hyperlink_2321" Type="http://schemas.openxmlformats.org/officeDocument/2006/relationships/hyperlink" Target="https://www.diodes.com/datasheet/download/DMP31D7LWQ.pdf" TargetMode="External"/><Relationship Id="rId_hyperlink_2322" Type="http://schemas.openxmlformats.org/officeDocument/2006/relationships/hyperlink" Target="https://www.diodes.com/part/view/DMP31D7LWQ" TargetMode="External"/><Relationship Id="rId_hyperlink_2323" Type="http://schemas.openxmlformats.org/officeDocument/2006/relationships/hyperlink" Target="https://www.diodes.com/datasheet/download/DMP32D4S.pdf" TargetMode="External"/><Relationship Id="rId_hyperlink_2324" Type="http://schemas.openxmlformats.org/officeDocument/2006/relationships/hyperlink" Target="https://www.diodes.com/part/view/DMP32D4S" TargetMode="External"/><Relationship Id="rId_hyperlink_2325" Type="http://schemas.openxmlformats.org/officeDocument/2006/relationships/hyperlink" Target="https://www.diodes.com/datasheet/download/DMP32D4SFB.pdf" TargetMode="External"/><Relationship Id="rId_hyperlink_2326" Type="http://schemas.openxmlformats.org/officeDocument/2006/relationships/hyperlink" Target="https://www.diodes.com/part/view/DMP32D4SFB" TargetMode="External"/><Relationship Id="rId_hyperlink_2327" Type="http://schemas.openxmlformats.org/officeDocument/2006/relationships/hyperlink" Target="https://www.diodes.com/datasheet/download/DMP32D4SW.pdf" TargetMode="External"/><Relationship Id="rId_hyperlink_2328" Type="http://schemas.openxmlformats.org/officeDocument/2006/relationships/hyperlink" Target="https://www.diodes.com/part/view/DMP32D4SW" TargetMode="External"/><Relationship Id="rId_hyperlink_2329" Type="http://schemas.openxmlformats.org/officeDocument/2006/relationships/hyperlink" Target="https://www.diodes.com/datasheet/download/DMP32D5LFA.pdf" TargetMode="External"/><Relationship Id="rId_hyperlink_2330" Type="http://schemas.openxmlformats.org/officeDocument/2006/relationships/hyperlink" Target="https://www.diodes.com/part/view/DMP32D5LFA" TargetMode="External"/><Relationship Id="rId_hyperlink_2331" Type="http://schemas.openxmlformats.org/officeDocument/2006/relationships/hyperlink" Target="https://www.diodes.com/datasheet/download/DMP32D5SFB.pdf" TargetMode="External"/><Relationship Id="rId_hyperlink_2332" Type="http://schemas.openxmlformats.org/officeDocument/2006/relationships/hyperlink" Target="https://www.diodes.com/part/view/DMP32D5SFB" TargetMode="External"/><Relationship Id="rId_hyperlink_2333" Type="http://schemas.openxmlformats.org/officeDocument/2006/relationships/hyperlink" Target="https://www.diodes.com/datasheet/download/DMP32D8UFZ.pdf" TargetMode="External"/><Relationship Id="rId_hyperlink_2334" Type="http://schemas.openxmlformats.org/officeDocument/2006/relationships/hyperlink" Target="https://www.diodes.com/part/view/DMP32D8UFZ" TargetMode="External"/><Relationship Id="rId_hyperlink_2335" Type="http://schemas.openxmlformats.org/officeDocument/2006/relationships/hyperlink" Target="https://www.diodes.com/datasheet/download/DMP32D9UDA.pdf" TargetMode="External"/><Relationship Id="rId_hyperlink_2336" Type="http://schemas.openxmlformats.org/officeDocument/2006/relationships/hyperlink" Target="https://www.diodes.com/part/view/DMP32D9UDA" TargetMode="External"/><Relationship Id="rId_hyperlink_2337" Type="http://schemas.openxmlformats.org/officeDocument/2006/relationships/hyperlink" Target="https://www.diodes.com/datasheet/download/DMP32D9UDAQ.pdf" TargetMode="External"/><Relationship Id="rId_hyperlink_2338" Type="http://schemas.openxmlformats.org/officeDocument/2006/relationships/hyperlink" Target="https://www.diodes.com/part/view/DMP32D9UDAQ" TargetMode="External"/><Relationship Id="rId_hyperlink_2339" Type="http://schemas.openxmlformats.org/officeDocument/2006/relationships/hyperlink" Target="https://www.diodes.com/datasheet/download/DMP32D9UFA.pdf" TargetMode="External"/><Relationship Id="rId_hyperlink_2340" Type="http://schemas.openxmlformats.org/officeDocument/2006/relationships/hyperlink" Target="https://www.diodes.com/part/view/DMP32D9UFA" TargetMode="External"/><Relationship Id="rId_hyperlink_2341" Type="http://schemas.openxmlformats.org/officeDocument/2006/relationships/hyperlink" Target="https://www.diodes.com/datasheet/download/DMP32D9UFO.pdf" TargetMode="External"/><Relationship Id="rId_hyperlink_2342" Type="http://schemas.openxmlformats.org/officeDocument/2006/relationships/hyperlink" Target="https://www.diodes.com/part/view/DMP32D9UFO" TargetMode="External"/><Relationship Id="rId_hyperlink_2343" Type="http://schemas.openxmlformats.org/officeDocument/2006/relationships/hyperlink" Target="https://www.diodes.com/datasheet/download/DMP32D9UFZ.pdf" TargetMode="External"/><Relationship Id="rId_hyperlink_2344" Type="http://schemas.openxmlformats.org/officeDocument/2006/relationships/hyperlink" Target="https://www.diodes.com/part/view/DMP32D9UFZ" TargetMode="External"/><Relationship Id="rId_hyperlink_2345" Type="http://schemas.openxmlformats.org/officeDocument/2006/relationships/hyperlink" Target="https://www.diodes.com/datasheet/download/DMP32M6SPS.pdf" TargetMode="External"/><Relationship Id="rId_hyperlink_2346" Type="http://schemas.openxmlformats.org/officeDocument/2006/relationships/hyperlink" Target="https://www.diodes.com/part/view/DMP32M6SPS" TargetMode="External"/><Relationship Id="rId_hyperlink_2347" Type="http://schemas.openxmlformats.org/officeDocument/2006/relationships/hyperlink" Target="https://www.diodes.com/datasheet/download/DMP34M4SPS.pdf" TargetMode="External"/><Relationship Id="rId_hyperlink_2348" Type="http://schemas.openxmlformats.org/officeDocument/2006/relationships/hyperlink" Target="https://www.diodes.com/part/view/DMP34M4SPS" TargetMode="External"/><Relationship Id="rId_hyperlink_2349" Type="http://schemas.openxmlformats.org/officeDocument/2006/relationships/hyperlink" Target="https://www.diodes.com/datasheet/download/DMP4006SPSW.pdf" TargetMode="External"/><Relationship Id="rId_hyperlink_2350" Type="http://schemas.openxmlformats.org/officeDocument/2006/relationships/hyperlink" Target="https://www.diodes.com/part/view/DMP4006SPSW" TargetMode="External"/><Relationship Id="rId_hyperlink_2351" Type="http://schemas.openxmlformats.org/officeDocument/2006/relationships/hyperlink" Target="https://www.diodes.com/datasheet/download/DMP4006SPSWQ.pdf" TargetMode="External"/><Relationship Id="rId_hyperlink_2352" Type="http://schemas.openxmlformats.org/officeDocument/2006/relationships/hyperlink" Target="https://www.diodes.com/part/view/DMP4006SPSWQ" TargetMode="External"/><Relationship Id="rId_hyperlink_2353" Type="http://schemas.openxmlformats.org/officeDocument/2006/relationships/hyperlink" Target="https://www.diodes.com/datasheet/download/DMP4009SPSW.pdf" TargetMode="External"/><Relationship Id="rId_hyperlink_2354" Type="http://schemas.openxmlformats.org/officeDocument/2006/relationships/hyperlink" Target="https://www.diodes.com/part/view/DMP4009SPSW" TargetMode="External"/><Relationship Id="rId_hyperlink_2355" Type="http://schemas.openxmlformats.org/officeDocument/2006/relationships/hyperlink" Target="https://www.diodes.com/datasheet/download/DMP4009SPSWQ.pdf" TargetMode="External"/><Relationship Id="rId_hyperlink_2356" Type="http://schemas.openxmlformats.org/officeDocument/2006/relationships/hyperlink" Target="https://www.diodes.com/part/view/DMP4009SPSWQ" TargetMode="External"/><Relationship Id="rId_hyperlink_2357" Type="http://schemas.openxmlformats.org/officeDocument/2006/relationships/hyperlink" Target="https://www.diodes.com/datasheet/download/DMP4009SSS.pdf" TargetMode="External"/><Relationship Id="rId_hyperlink_2358" Type="http://schemas.openxmlformats.org/officeDocument/2006/relationships/hyperlink" Target="https://www.diodes.com/part/view/DMP4009SSS" TargetMode="External"/><Relationship Id="rId_hyperlink_2359" Type="http://schemas.openxmlformats.org/officeDocument/2006/relationships/hyperlink" Target="https://www.diodes.com/datasheet/download/DMP4009SSSQ.pdf" TargetMode="External"/><Relationship Id="rId_hyperlink_2360" Type="http://schemas.openxmlformats.org/officeDocument/2006/relationships/hyperlink" Target="https://www.diodes.com/part/view/DMP4009SSSQ" TargetMode="External"/><Relationship Id="rId_hyperlink_2361" Type="http://schemas.openxmlformats.org/officeDocument/2006/relationships/hyperlink" Target="https://www.diodes.com/datasheet/download/DMP4010SK3.pdf" TargetMode="External"/><Relationship Id="rId_hyperlink_2362" Type="http://schemas.openxmlformats.org/officeDocument/2006/relationships/hyperlink" Target="https://www.diodes.com/part/view/DMP4010SK3" TargetMode="External"/><Relationship Id="rId_hyperlink_2363" Type="http://schemas.openxmlformats.org/officeDocument/2006/relationships/hyperlink" Target="https://www.diodes.com/datasheet/download/DMP4010SK3Q.pdf" TargetMode="External"/><Relationship Id="rId_hyperlink_2364" Type="http://schemas.openxmlformats.org/officeDocument/2006/relationships/hyperlink" Target="https://www.diodes.com/part/view/DMP4010SK3Q" TargetMode="External"/><Relationship Id="rId_hyperlink_2365" Type="http://schemas.openxmlformats.org/officeDocument/2006/relationships/hyperlink" Target="https://www.diodes.com/datasheet/download/DMP4011SK3.pdf" TargetMode="External"/><Relationship Id="rId_hyperlink_2366" Type="http://schemas.openxmlformats.org/officeDocument/2006/relationships/hyperlink" Target="https://www.diodes.com/part/view/DMP4011SK3" TargetMode="External"/><Relationship Id="rId_hyperlink_2367" Type="http://schemas.openxmlformats.org/officeDocument/2006/relationships/hyperlink" Target="https://www.diodes.com/datasheet/download/DMP4011SK3Q.pdf" TargetMode="External"/><Relationship Id="rId_hyperlink_2368" Type="http://schemas.openxmlformats.org/officeDocument/2006/relationships/hyperlink" Target="https://www.diodes.com/part/view/DMP4011SK3Q" TargetMode="External"/><Relationship Id="rId_hyperlink_2369" Type="http://schemas.openxmlformats.org/officeDocument/2006/relationships/hyperlink" Target="https://www.diodes.com/datasheet/download/DMP4011SPS.pdf" TargetMode="External"/><Relationship Id="rId_hyperlink_2370" Type="http://schemas.openxmlformats.org/officeDocument/2006/relationships/hyperlink" Target="https://www.diodes.com/part/view/DMP4011SPS" TargetMode="External"/><Relationship Id="rId_hyperlink_2371" Type="http://schemas.openxmlformats.org/officeDocument/2006/relationships/hyperlink" Target="https://www.diodes.com/datasheet/download/DMP4011SPSQ.pdf" TargetMode="External"/><Relationship Id="rId_hyperlink_2372" Type="http://schemas.openxmlformats.org/officeDocument/2006/relationships/hyperlink" Target="https://www.diodes.com/part/view/DMP4011SPSQ" TargetMode="External"/><Relationship Id="rId_hyperlink_2373" Type="http://schemas.openxmlformats.org/officeDocument/2006/relationships/hyperlink" Target="https://www.diodes.com/datasheet/download/DMP4011SPSW.pdf" TargetMode="External"/><Relationship Id="rId_hyperlink_2374" Type="http://schemas.openxmlformats.org/officeDocument/2006/relationships/hyperlink" Target="https://www.diodes.com/part/view/DMP4011SPSW" TargetMode="External"/><Relationship Id="rId_hyperlink_2375" Type="http://schemas.openxmlformats.org/officeDocument/2006/relationships/hyperlink" Target="https://www.diodes.com/datasheet/download/DMP4011SPSWQ.pdf" TargetMode="External"/><Relationship Id="rId_hyperlink_2376" Type="http://schemas.openxmlformats.org/officeDocument/2006/relationships/hyperlink" Target="https://www.diodes.com/part/view/DMP4011SPSWQ" TargetMode="External"/><Relationship Id="rId_hyperlink_2377" Type="http://schemas.openxmlformats.org/officeDocument/2006/relationships/hyperlink" Target="https://www.diodes.com/datasheet/download/DMP4013LFG.pdf" TargetMode="External"/><Relationship Id="rId_hyperlink_2378" Type="http://schemas.openxmlformats.org/officeDocument/2006/relationships/hyperlink" Target="https://www.diodes.com/part/view/DMP4013LFG" TargetMode="External"/><Relationship Id="rId_hyperlink_2379" Type="http://schemas.openxmlformats.org/officeDocument/2006/relationships/hyperlink" Target="https://www.diodes.com/datasheet/download/DMP4013LFGQ.pdf" TargetMode="External"/><Relationship Id="rId_hyperlink_2380" Type="http://schemas.openxmlformats.org/officeDocument/2006/relationships/hyperlink" Target="https://www.diodes.com/part/view/DMP4013LFGQ" TargetMode="External"/><Relationship Id="rId_hyperlink_2381" Type="http://schemas.openxmlformats.org/officeDocument/2006/relationships/hyperlink" Target="https://www.diodes.com/datasheet/download/DMP4013SPS.pdf" TargetMode="External"/><Relationship Id="rId_hyperlink_2382" Type="http://schemas.openxmlformats.org/officeDocument/2006/relationships/hyperlink" Target="https://www.diodes.com/part/view/DMP4013SPS" TargetMode="External"/><Relationship Id="rId_hyperlink_2383" Type="http://schemas.openxmlformats.org/officeDocument/2006/relationships/hyperlink" Target="https://www.diodes.com/datasheet/download/DMP4013SPSQ.pdf" TargetMode="External"/><Relationship Id="rId_hyperlink_2384" Type="http://schemas.openxmlformats.org/officeDocument/2006/relationships/hyperlink" Target="https://www.diodes.com/part/view/DMP4013SPSQ" TargetMode="External"/><Relationship Id="rId_hyperlink_2385" Type="http://schemas.openxmlformats.org/officeDocument/2006/relationships/hyperlink" Target="https://www.diodes.com/datasheet/download/DMP4013SPSW.pdf" TargetMode="External"/><Relationship Id="rId_hyperlink_2386" Type="http://schemas.openxmlformats.org/officeDocument/2006/relationships/hyperlink" Target="https://www.diodes.com/part/view/DMP4013SPSW" TargetMode="External"/><Relationship Id="rId_hyperlink_2387" Type="http://schemas.openxmlformats.org/officeDocument/2006/relationships/hyperlink" Target="https://www.diodes.com/datasheet/download/DMP4013SPSWQ.pdf" TargetMode="External"/><Relationship Id="rId_hyperlink_2388" Type="http://schemas.openxmlformats.org/officeDocument/2006/relationships/hyperlink" Target="https://www.diodes.com/part/view/DMP4013SPSWQ" TargetMode="External"/><Relationship Id="rId_hyperlink_2389" Type="http://schemas.openxmlformats.org/officeDocument/2006/relationships/hyperlink" Target="https://www.diodes.com/datasheet/download/DMP4015SK3.pdf" TargetMode="External"/><Relationship Id="rId_hyperlink_2390" Type="http://schemas.openxmlformats.org/officeDocument/2006/relationships/hyperlink" Target="https://www.diodes.com/part/view/DMP4015SK3" TargetMode="External"/><Relationship Id="rId_hyperlink_2391" Type="http://schemas.openxmlformats.org/officeDocument/2006/relationships/hyperlink" Target="https://www.diodes.com/datasheet/download/DMP4015SK3Q.pdf" TargetMode="External"/><Relationship Id="rId_hyperlink_2392" Type="http://schemas.openxmlformats.org/officeDocument/2006/relationships/hyperlink" Target="https://www.diodes.com/part/view/DMP4015SK3Q" TargetMode="External"/><Relationship Id="rId_hyperlink_2393" Type="http://schemas.openxmlformats.org/officeDocument/2006/relationships/hyperlink" Target="https://www.diodes.com/datasheet/download/DMP4015SPS.pdf" TargetMode="External"/><Relationship Id="rId_hyperlink_2394" Type="http://schemas.openxmlformats.org/officeDocument/2006/relationships/hyperlink" Target="https://www.diodes.com/part/view/DMP4015SPS" TargetMode="External"/><Relationship Id="rId_hyperlink_2395" Type="http://schemas.openxmlformats.org/officeDocument/2006/relationships/hyperlink" Target="https://www.diodes.com/datasheet/download/DMP4015SPSQ.pdf" TargetMode="External"/><Relationship Id="rId_hyperlink_2396" Type="http://schemas.openxmlformats.org/officeDocument/2006/relationships/hyperlink" Target="https://www.diodes.com/part/view/DMP4015SPSQ" TargetMode="External"/><Relationship Id="rId_hyperlink_2397" Type="http://schemas.openxmlformats.org/officeDocument/2006/relationships/hyperlink" Target="https://www.diodes.com/datasheet/download/DMP4015SPSW.pdf" TargetMode="External"/><Relationship Id="rId_hyperlink_2398" Type="http://schemas.openxmlformats.org/officeDocument/2006/relationships/hyperlink" Target="https://www.diodes.com/part/view/DMP4015SPSW" TargetMode="External"/><Relationship Id="rId_hyperlink_2399" Type="http://schemas.openxmlformats.org/officeDocument/2006/relationships/hyperlink" Target="https://www.diodes.com/datasheet/download/DMP4015SPSWQ.pdf" TargetMode="External"/><Relationship Id="rId_hyperlink_2400" Type="http://schemas.openxmlformats.org/officeDocument/2006/relationships/hyperlink" Target="https://www.diodes.com/part/view/DMP4015SPSWQ" TargetMode="External"/><Relationship Id="rId_hyperlink_2401" Type="http://schemas.openxmlformats.org/officeDocument/2006/relationships/hyperlink" Target="https://www.diodes.com/datasheet/download/DMP4015SSS.pdf" TargetMode="External"/><Relationship Id="rId_hyperlink_2402" Type="http://schemas.openxmlformats.org/officeDocument/2006/relationships/hyperlink" Target="https://www.diodes.com/part/view/DMP4015SSS" TargetMode="External"/><Relationship Id="rId_hyperlink_2403" Type="http://schemas.openxmlformats.org/officeDocument/2006/relationships/hyperlink" Target="https://www.diodes.com/datasheet/download/DMP4015SSSQ.pdf" TargetMode="External"/><Relationship Id="rId_hyperlink_2404" Type="http://schemas.openxmlformats.org/officeDocument/2006/relationships/hyperlink" Target="https://www.diodes.com/part/view/DMP4015SSSQ" TargetMode="External"/><Relationship Id="rId_hyperlink_2405" Type="http://schemas.openxmlformats.org/officeDocument/2006/relationships/hyperlink" Target="https://www.diodes.com/datasheet/download/DMP4016SK3.pdf" TargetMode="External"/><Relationship Id="rId_hyperlink_2406" Type="http://schemas.openxmlformats.org/officeDocument/2006/relationships/hyperlink" Target="https://www.diodes.com/part/view/DMP4016SK3" TargetMode="External"/><Relationship Id="rId_hyperlink_2407" Type="http://schemas.openxmlformats.org/officeDocument/2006/relationships/hyperlink" Target="https://www.diodes.com/datasheet/download/DMP4016SK3Q.pdf" TargetMode="External"/><Relationship Id="rId_hyperlink_2408" Type="http://schemas.openxmlformats.org/officeDocument/2006/relationships/hyperlink" Target="https://www.diodes.com/part/view/DMP4016SK3Q" TargetMode="External"/><Relationship Id="rId_hyperlink_2409" Type="http://schemas.openxmlformats.org/officeDocument/2006/relationships/hyperlink" Target="https://www.diodes.com/datasheet/download/DMP4016SPSW.pdf" TargetMode="External"/><Relationship Id="rId_hyperlink_2410" Type="http://schemas.openxmlformats.org/officeDocument/2006/relationships/hyperlink" Target="https://www.diodes.com/part/view/DMP4016SPSW" TargetMode="External"/><Relationship Id="rId_hyperlink_2411" Type="http://schemas.openxmlformats.org/officeDocument/2006/relationships/hyperlink" Target="https://www.diodes.com/datasheet/download/DMP4016SPSWQ.pdf" TargetMode="External"/><Relationship Id="rId_hyperlink_2412" Type="http://schemas.openxmlformats.org/officeDocument/2006/relationships/hyperlink" Target="https://www.diodes.com/part/view/DMP4016SPSWQ" TargetMode="External"/><Relationship Id="rId_hyperlink_2413" Type="http://schemas.openxmlformats.org/officeDocument/2006/relationships/hyperlink" Target="https://www.diodes.com/datasheet/download/DMP4016SSS.pdf" TargetMode="External"/><Relationship Id="rId_hyperlink_2414" Type="http://schemas.openxmlformats.org/officeDocument/2006/relationships/hyperlink" Target="https://www.diodes.com/part/view/DMP4016SSS" TargetMode="External"/><Relationship Id="rId_hyperlink_2415" Type="http://schemas.openxmlformats.org/officeDocument/2006/relationships/hyperlink" Target="https://www.diodes.com/datasheet/download/DMP4016SSSQ.pdf" TargetMode="External"/><Relationship Id="rId_hyperlink_2416" Type="http://schemas.openxmlformats.org/officeDocument/2006/relationships/hyperlink" Target="https://www.diodes.com/part/view/DMP4016SSSQ" TargetMode="External"/><Relationship Id="rId_hyperlink_2417" Type="http://schemas.openxmlformats.org/officeDocument/2006/relationships/hyperlink" Target="https://www.diodes.com/datasheet/download/DMP4025LK3Q.pdf" TargetMode="External"/><Relationship Id="rId_hyperlink_2418" Type="http://schemas.openxmlformats.org/officeDocument/2006/relationships/hyperlink" Target="https://www.diodes.com/part/view/DMP4025LK3Q" TargetMode="External"/><Relationship Id="rId_hyperlink_2419" Type="http://schemas.openxmlformats.org/officeDocument/2006/relationships/hyperlink" Target="https://www.diodes.com/datasheet/download/DMP4025LSS.pdf" TargetMode="External"/><Relationship Id="rId_hyperlink_2420" Type="http://schemas.openxmlformats.org/officeDocument/2006/relationships/hyperlink" Target="https://www.diodes.com/part/view/DMP4025LSS" TargetMode="External"/><Relationship Id="rId_hyperlink_2421" Type="http://schemas.openxmlformats.org/officeDocument/2006/relationships/hyperlink" Target="https://www.diodes.com/datasheet/download/DMP4025LSSQ.pdf" TargetMode="External"/><Relationship Id="rId_hyperlink_2422" Type="http://schemas.openxmlformats.org/officeDocument/2006/relationships/hyperlink" Target="https://www.diodes.com/part/view/DMP4025LSSQ" TargetMode="External"/><Relationship Id="rId_hyperlink_2423" Type="http://schemas.openxmlformats.org/officeDocument/2006/relationships/hyperlink" Target="https://www.diodes.com/datasheet/download/DMP4026LK3.pdf" TargetMode="External"/><Relationship Id="rId_hyperlink_2424" Type="http://schemas.openxmlformats.org/officeDocument/2006/relationships/hyperlink" Target="https://www.diodes.com/part/view/DMP4026LK3" TargetMode="External"/><Relationship Id="rId_hyperlink_2425" Type="http://schemas.openxmlformats.org/officeDocument/2006/relationships/hyperlink" Target="https://www.diodes.com/datasheet/download/DMP4026LK3Q.pdf" TargetMode="External"/><Relationship Id="rId_hyperlink_2426" Type="http://schemas.openxmlformats.org/officeDocument/2006/relationships/hyperlink" Target="https://www.diodes.com/part/view/DMP4026LK3Q" TargetMode="External"/><Relationship Id="rId_hyperlink_2427" Type="http://schemas.openxmlformats.org/officeDocument/2006/relationships/hyperlink" Target="https://www.diodes.com/datasheet/download/DMP4026LSD.pdf" TargetMode="External"/><Relationship Id="rId_hyperlink_2428" Type="http://schemas.openxmlformats.org/officeDocument/2006/relationships/hyperlink" Target="https://www.diodes.com/part/view/DMP4026LSD" TargetMode="External"/><Relationship Id="rId_hyperlink_2429" Type="http://schemas.openxmlformats.org/officeDocument/2006/relationships/hyperlink" Target="https://www.diodes.com/datasheet/download/DMP4026LSDQ.pdf" TargetMode="External"/><Relationship Id="rId_hyperlink_2430" Type="http://schemas.openxmlformats.org/officeDocument/2006/relationships/hyperlink" Target="https://www.diodes.com/part/view/DMP4026LSDQ" TargetMode="External"/><Relationship Id="rId_hyperlink_2431" Type="http://schemas.openxmlformats.org/officeDocument/2006/relationships/hyperlink" Target="https://www.diodes.com/datasheet/download/DMP4026LSS.pdf" TargetMode="External"/><Relationship Id="rId_hyperlink_2432" Type="http://schemas.openxmlformats.org/officeDocument/2006/relationships/hyperlink" Target="https://www.diodes.com/part/view/DMP4026LSS" TargetMode="External"/><Relationship Id="rId_hyperlink_2433" Type="http://schemas.openxmlformats.org/officeDocument/2006/relationships/hyperlink" Target="https://www.diodes.com/datasheet/download/DMP4026LSSQ.pdf" TargetMode="External"/><Relationship Id="rId_hyperlink_2434" Type="http://schemas.openxmlformats.org/officeDocument/2006/relationships/hyperlink" Target="https://www.diodes.com/part/view/DMP4026LSSQ" TargetMode="External"/><Relationship Id="rId_hyperlink_2435" Type="http://schemas.openxmlformats.org/officeDocument/2006/relationships/hyperlink" Target="https://www.diodes.com/datasheet/download/DMP4026SFG.pdf" TargetMode="External"/><Relationship Id="rId_hyperlink_2436" Type="http://schemas.openxmlformats.org/officeDocument/2006/relationships/hyperlink" Target="https://www.diodes.com/part/view/DMP4026SFG" TargetMode="External"/><Relationship Id="rId_hyperlink_2437" Type="http://schemas.openxmlformats.org/officeDocument/2006/relationships/hyperlink" Target="https://www.diodes.com/datasheet/download/DMP4026SFGQ.pdf" TargetMode="External"/><Relationship Id="rId_hyperlink_2438" Type="http://schemas.openxmlformats.org/officeDocument/2006/relationships/hyperlink" Target="https://www.diodes.com/part/view/DMP4026SFGQ" TargetMode="External"/><Relationship Id="rId_hyperlink_2439" Type="http://schemas.openxmlformats.org/officeDocument/2006/relationships/hyperlink" Target="https://www.diodes.com/datasheet/download/DMP4026SFVW.pdf" TargetMode="External"/><Relationship Id="rId_hyperlink_2440" Type="http://schemas.openxmlformats.org/officeDocument/2006/relationships/hyperlink" Target="https://www.diodes.com/part/view/DMP4026SFVW" TargetMode="External"/><Relationship Id="rId_hyperlink_2441" Type="http://schemas.openxmlformats.org/officeDocument/2006/relationships/hyperlink" Target="https://www.diodes.com/datasheet/download/DMP4026SFVWQ.pdf" TargetMode="External"/><Relationship Id="rId_hyperlink_2442" Type="http://schemas.openxmlformats.org/officeDocument/2006/relationships/hyperlink" Target="https://www.diodes.com/part/view/DMP4026SFVWQ" TargetMode="External"/><Relationship Id="rId_hyperlink_2443" Type="http://schemas.openxmlformats.org/officeDocument/2006/relationships/hyperlink" Target="https://www.diodes.com/datasheet/download/DMP4047LFDE.pdf" TargetMode="External"/><Relationship Id="rId_hyperlink_2444" Type="http://schemas.openxmlformats.org/officeDocument/2006/relationships/hyperlink" Target="https://www.diodes.com/part/view/DMP4047LFDE" TargetMode="External"/><Relationship Id="rId_hyperlink_2445" Type="http://schemas.openxmlformats.org/officeDocument/2006/relationships/hyperlink" Target="https://www.diodes.com/datasheet/download/DMP4047LFDEQ.pdf" TargetMode="External"/><Relationship Id="rId_hyperlink_2446" Type="http://schemas.openxmlformats.org/officeDocument/2006/relationships/hyperlink" Target="https://www.diodes.com/part/view/DMP4047LFDEQ" TargetMode="External"/><Relationship Id="rId_hyperlink_2447" Type="http://schemas.openxmlformats.org/officeDocument/2006/relationships/hyperlink" Target="https://www.diodes.com/datasheet/download/DMP4047SK3.pdf" TargetMode="External"/><Relationship Id="rId_hyperlink_2448" Type="http://schemas.openxmlformats.org/officeDocument/2006/relationships/hyperlink" Target="https://www.diodes.com/part/view/DMP4047SK3" TargetMode="External"/><Relationship Id="rId_hyperlink_2449" Type="http://schemas.openxmlformats.org/officeDocument/2006/relationships/hyperlink" Target="https://www.diodes.com/datasheet/download/DMP4047SSD.pdf" TargetMode="External"/><Relationship Id="rId_hyperlink_2450" Type="http://schemas.openxmlformats.org/officeDocument/2006/relationships/hyperlink" Target="https://www.diodes.com/part/view/DMP4047SSD" TargetMode="External"/><Relationship Id="rId_hyperlink_2451" Type="http://schemas.openxmlformats.org/officeDocument/2006/relationships/hyperlink" Target="https://www.diodes.com/datasheet/download/DMP4047SSD.pdf" TargetMode="External"/><Relationship Id="rId_hyperlink_2452" Type="http://schemas.openxmlformats.org/officeDocument/2006/relationships/hyperlink" Target="https://www.diodes.com/part/view/DMP4047SSDQ" TargetMode="External"/><Relationship Id="rId_hyperlink_2453" Type="http://schemas.openxmlformats.org/officeDocument/2006/relationships/hyperlink" Target="https://www.diodes.com/datasheet/download/DMP4050SSD.pdf" TargetMode="External"/><Relationship Id="rId_hyperlink_2454" Type="http://schemas.openxmlformats.org/officeDocument/2006/relationships/hyperlink" Target="https://www.diodes.com/part/view/DMP4050SSD" TargetMode="External"/><Relationship Id="rId_hyperlink_2455" Type="http://schemas.openxmlformats.org/officeDocument/2006/relationships/hyperlink" Target="https://www.diodes.com/datasheet/download/DMP4050SSD.pdf" TargetMode="External"/><Relationship Id="rId_hyperlink_2456" Type="http://schemas.openxmlformats.org/officeDocument/2006/relationships/hyperlink" Target="https://www.diodes.com/part/view/DMP4050SSDQ" TargetMode="External"/><Relationship Id="rId_hyperlink_2457" Type="http://schemas.openxmlformats.org/officeDocument/2006/relationships/hyperlink" Target="https://www.diodes.com/datasheet/download/DMP4050SSS.pdf" TargetMode="External"/><Relationship Id="rId_hyperlink_2458" Type="http://schemas.openxmlformats.org/officeDocument/2006/relationships/hyperlink" Target="https://www.diodes.com/part/view/DMP4050SSS" TargetMode="External"/><Relationship Id="rId_hyperlink_2459" Type="http://schemas.openxmlformats.org/officeDocument/2006/relationships/hyperlink" Target="https://www.diodes.com/datasheet/download/DMP4051LK3.pdf" TargetMode="External"/><Relationship Id="rId_hyperlink_2460" Type="http://schemas.openxmlformats.org/officeDocument/2006/relationships/hyperlink" Target="https://www.diodes.com/part/view/DMP4051LK3" TargetMode="External"/><Relationship Id="rId_hyperlink_2461" Type="http://schemas.openxmlformats.org/officeDocument/2006/relationships/hyperlink" Target="https://www.diodes.com/datasheet/download/DMP4065S.pdf" TargetMode="External"/><Relationship Id="rId_hyperlink_2462" Type="http://schemas.openxmlformats.org/officeDocument/2006/relationships/hyperlink" Target="https://www.diodes.com/part/view/DMP4065S" TargetMode="External"/><Relationship Id="rId_hyperlink_2463" Type="http://schemas.openxmlformats.org/officeDocument/2006/relationships/hyperlink" Target="https://www.diodes.com/datasheet/download/DMP4065SK3.pdf" TargetMode="External"/><Relationship Id="rId_hyperlink_2464" Type="http://schemas.openxmlformats.org/officeDocument/2006/relationships/hyperlink" Target="https://www.diodes.com/part/view/DMP4065SK3" TargetMode="External"/><Relationship Id="rId_hyperlink_2465" Type="http://schemas.openxmlformats.org/officeDocument/2006/relationships/hyperlink" Target="https://www.diodes.com/datasheet/download/DMP4065SQ.pdf" TargetMode="External"/><Relationship Id="rId_hyperlink_2466" Type="http://schemas.openxmlformats.org/officeDocument/2006/relationships/hyperlink" Target="https://www.diodes.com/part/view/DMP4065SQ" TargetMode="External"/><Relationship Id="rId_hyperlink_2467" Type="http://schemas.openxmlformats.org/officeDocument/2006/relationships/hyperlink" Target="https://www.diodes.com/datasheet/download/DMP45H150DHE.pdf" TargetMode="External"/><Relationship Id="rId_hyperlink_2468" Type="http://schemas.openxmlformats.org/officeDocument/2006/relationships/hyperlink" Target="https://www.diodes.com/part/view/DMP45H150DHE" TargetMode="External"/><Relationship Id="rId_hyperlink_2469" Type="http://schemas.openxmlformats.org/officeDocument/2006/relationships/hyperlink" Target="https://www.diodes.com/datasheet/download/DMP45H21DHE.pdf" TargetMode="External"/><Relationship Id="rId_hyperlink_2470" Type="http://schemas.openxmlformats.org/officeDocument/2006/relationships/hyperlink" Target="https://www.diodes.com/part/view/DMP45H21DHE" TargetMode="External"/><Relationship Id="rId_hyperlink_2471" Type="http://schemas.openxmlformats.org/officeDocument/2006/relationships/hyperlink" Target="https://www.diodes.com/datasheet/download/DMP45H4D9HJ3.pdf" TargetMode="External"/><Relationship Id="rId_hyperlink_2472" Type="http://schemas.openxmlformats.org/officeDocument/2006/relationships/hyperlink" Target="https://www.diodes.com/part/view/DMP45H4D9HJ3" TargetMode="External"/><Relationship Id="rId_hyperlink_2473" Type="http://schemas.openxmlformats.org/officeDocument/2006/relationships/hyperlink" Target="https://www.diodes.com/datasheet/download/DMP45H4D9HK3.pdf" TargetMode="External"/><Relationship Id="rId_hyperlink_2474" Type="http://schemas.openxmlformats.org/officeDocument/2006/relationships/hyperlink" Target="https://www.diodes.com/part/view/DMP45H4D9HK3" TargetMode="External"/><Relationship Id="rId_hyperlink_2475" Type="http://schemas.openxmlformats.org/officeDocument/2006/relationships/hyperlink" Target="https://www.diodes.com/datasheet/download/DMP510DL.pdf" TargetMode="External"/><Relationship Id="rId_hyperlink_2476" Type="http://schemas.openxmlformats.org/officeDocument/2006/relationships/hyperlink" Target="https://www.diodes.com/part/view/DMP510DL" TargetMode="External"/><Relationship Id="rId_hyperlink_2477" Type="http://schemas.openxmlformats.org/officeDocument/2006/relationships/hyperlink" Target="https://www.diodes.com/datasheet/download/DMP510DLQ.pdf" TargetMode="External"/><Relationship Id="rId_hyperlink_2478" Type="http://schemas.openxmlformats.org/officeDocument/2006/relationships/hyperlink" Target="https://www.diodes.com/part/view/DMP510DLQ" TargetMode="External"/><Relationship Id="rId_hyperlink_2479" Type="http://schemas.openxmlformats.org/officeDocument/2006/relationships/hyperlink" Target="https://www.diodes.com/datasheet/download/DMP510DLW.pdf" TargetMode="External"/><Relationship Id="rId_hyperlink_2480" Type="http://schemas.openxmlformats.org/officeDocument/2006/relationships/hyperlink" Target="https://www.diodes.com/part/view/DMP510DLW" TargetMode="External"/><Relationship Id="rId_hyperlink_2481" Type="http://schemas.openxmlformats.org/officeDocument/2006/relationships/hyperlink" Target="https://www.diodes.com/datasheet/download/DMP56D0UFB.pdf" TargetMode="External"/><Relationship Id="rId_hyperlink_2482" Type="http://schemas.openxmlformats.org/officeDocument/2006/relationships/hyperlink" Target="https://www.diodes.com/part/view/DMP56D0UFB" TargetMode="External"/><Relationship Id="rId_hyperlink_2483" Type="http://schemas.openxmlformats.org/officeDocument/2006/relationships/hyperlink" Target="https://www.diodes.com/datasheet/download/DMP56D0UV.pdf" TargetMode="External"/><Relationship Id="rId_hyperlink_2484" Type="http://schemas.openxmlformats.org/officeDocument/2006/relationships/hyperlink" Target="https://www.diodes.com/part/view/DMP56D0UV" TargetMode="External"/><Relationship Id="rId_hyperlink_2485" Type="http://schemas.openxmlformats.org/officeDocument/2006/relationships/hyperlink" Target="https://www.diodes.com/datasheet/download/DMP58D1LV.pdf" TargetMode="External"/><Relationship Id="rId_hyperlink_2486" Type="http://schemas.openxmlformats.org/officeDocument/2006/relationships/hyperlink" Target="https://www.diodes.com/part/view/DMP58D1LV" TargetMode="External"/><Relationship Id="rId_hyperlink_2487" Type="http://schemas.openxmlformats.org/officeDocument/2006/relationships/hyperlink" Target="https://www.diodes.com/datasheet/download/DMP58D1LVQ.pdf" TargetMode="External"/><Relationship Id="rId_hyperlink_2488" Type="http://schemas.openxmlformats.org/officeDocument/2006/relationships/hyperlink" Target="https://www.diodes.com/part/view/DMP58D1LVQ" TargetMode="External"/><Relationship Id="rId_hyperlink_2489" Type="http://schemas.openxmlformats.org/officeDocument/2006/relationships/hyperlink" Target="https://www.diodes.com/datasheet/download/DMP6018LPS.pdf" TargetMode="External"/><Relationship Id="rId_hyperlink_2490" Type="http://schemas.openxmlformats.org/officeDocument/2006/relationships/hyperlink" Target="https://www.diodes.com/part/view/DMP6018LPS" TargetMode="External"/><Relationship Id="rId_hyperlink_2491" Type="http://schemas.openxmlformats.org/officeDocument/2006/relationships/hyperlink" Target="https://www.diodes.com/datasheet/download/DMP6018LPSQ.pdf" TargetMode="External"/><Relationship Id="rId_hyperlink_2492" Type="http://schemas.openxmlformats.org/officeDocument/2006/relationships/hyperlink" Target="https://www.diodes.com/part/view/DMP6018LPSQ" TargetMode="External"/><Relationship Id="rId_hyperlink_2493" Type="http://schemas.openxmlformats.org/officeDocument/2006/relationships/hyperlink" Target="https://www.diodes.com/datasheet/download/DMP6023LE.pdf" TargetMode="External"/><Relationship Id="rId_hyperlink_2494" Type="http://schemas.openxmlformats.org/officeDocument/2006/relationships/hyperlink" Target="https://www.diodes.com/part/view/DMP6023LE" TargetMode="External"/><Relationship Id="rId_hyperlink_2495" Type="http://schemas.openxmlformats.org/officeDocument/2006/relationships/hyperlink" Target="https://www.diodes.com/datasheet/download/DMP6023LEQ.pdf" TargetMode="External"/><Relationship Id="rId_hyperlink_2496" Type="http://schemas.openxmlformats.org/officeDocument/2006/relationships/hyperlink" Target="https://www.diodes.com/part/view/DMP6023LEQ" TargetMode="External"/><Relationship Id="rId_hyperlink_2497" Type="http://schemas.openxmlformats.org/officeDocument/2006/relationships/hyperlink" Target="https://www.diodes.com/datasheet/download/DMP6023LFG.pdf" TargetMode="External"/><Relationship Id="rId_hyperlink_2498" Type="http://schemas.openxmlformats.org/officeDocument/2006/relationships/hyperlink" Target="https://www.diodes.com/part/view/DMP6023LFG" TargetMode="External"/><Relationship Id="rId_hyperlink_2499" Type="http://schemas.openxmlformats.org/officeDocument/2006/relationships/hyperlink" Target="https://www.diodes.com/datasheet/download/DMP6023LFGQ.pdf" TargetMode="External"/><Relationship Id="rId_hyperlink_2500" Type="http://schemas.openxmlformats.org/officeDocument/2006/relationships/hyperlink" Target="https://www.diodes.com/part/view/DMP6023LFGQ" TargetMode="External"/><Relationship Id="rId_hyperlink_2501" Type="http://schemas.openxmlformats.org/officeDocument/2006/relationships/hyperlink" Target="https://www.diodes.com/datasheet/download/DMP6023LSS.pdf" TargetMode="External"/><Relationship Id="rId_hyperlink_2502" Type="http://schemas.openxmlformats.org/officeDocument/2006/relationships/hyperlink" Target="https://www.diodes.com/part/view/DMP6023LSS" TargetMode="External"/><Relationship Id="rId_hyperlink_2503" Type="http://schemas.openxmlformats.org/officeDocument/2006/relationships/hyperlink" Target="https://www.diodes.com/datasheet/download/DMP6050SFG.pdf" TargetMode="External"/><Relationship Id="rId_hyperlink_2504" Type="http://schemas.openxmlformats.org/officeDocument/2006/relationships/hyperlink" Target="https://www.diodes.com/part/view/DMP6050SFG" TargetMode="External"/><Relationship Id="rId_hyperlink_2505" Type="http://schemas.openxmlformats.org/officeDocument/2006/relationships/hyperlink" Target="https://www.diodes.com/datasheet/download/DMP6050SPS.pdf" TargetMode="External"/><Relationship Id="rId_hyperlink_2506" Type="http://schemas.openxmlformats.org/officeDocument/2006/relationships/hyperlink" Target="https://www.diodes.com/part/view/DMP6050SPS" TargetMode="External"/><Relationship Id="rId_hyperlink_2507" Type="http://schemas.openxmlformats.org/officeDocument/2006/relationships/hyperlink" Target="https://www.diodes.com/datasheet/download/DMP6050SPSW.pdf" TargetMode="External"/><Relationship Id="rId_hyperlink_2508" Type="http://schemas.openxmlformats.org/officeDocument/2006/relationships/hyperlink" Target="https://www.diodes.com/part/view/DMP6050SPSW" TargetMode="External"/><Relationship Id="rId_hyperlink_2509" Type="http://schemas.openxmlformats.org/officeDocument/2006/relationships/hyperlink" Target="https://www.diodes.com/datasheet/download/DMP6050SSD.pdf" TargetMode="External"/><Relationship Id="rId_hyperlink_2510" Type="http://schemas.openxmlformats.org/officeDocument/2006/relationships/hyperlink" Target="https://www.diodes.com/part/view/DMP6050SSD" TargetMode="External"/><Relationship Id="rId_hyperlink_2511" Type="http://schemas.openxmlformats.org/officeDocument/2006/relationships/hyperlink" Target="https://www.diodes.com/datasheet/download/DMP6051SFVW.pdf" TargetMode="External"/><Relationship Id="rId_hyperlink_2512" Type="http://schemas.openxmlformats.org/officeDocument/2006/relationships/hyperlink" Target="https://www.diodes.com/part/view/DMP6051SFVW" TargetMode="External"/><Relationship Id="rId_hyperlink_2513" Type="http://schemas.openxmlformats.org/officeDocument/2006/relationships/hyperlink" Target="https://www.diodes.com/datasheet/download/DMP6051SFVWQ.pdf" TargetMode="External"/><Relationship Id="rId_hyperlink_2514" Type="http://schemas.openxmlformats.org/officeDocument/2006/relationships/hyperlink" Target="https://www.diodes.com/part/view/DMP6051SFVWQ" TargetMode="External"/><Relationship Id="rId_hyperlink_2515" Type="http://schemas.openxmlformats.org/officeDocument/2006/relationships/hyperlink" Target="https://www.diodes.com/datasheet/download/DMP6051SSD.pdf" TargetMode="External"/><Relationship Id="rId_hyperlink_2516" Type="http://schemas.openxmlformats.org/officeDocument/2006/relationships/hyperlink" Target="https://www.diodes.com/part/view/DMP6051SSD" TargetMode="External"/><Relationship Id="rId_hyperlink_2517" Type="http://schemas.openxmlformats.org/officeDocument/2006/relationships/hyperlink" Target="https://www.diodes.com/datasheet/download/DMP6051SSDQ.pdf" TargetMode="External"/><Relationship Id="rId_hyperlink_2518" Type="http://schemas.openxmlformats.org/officeDocument/2006/relationships/hyperlink" Target="https://www.diodes.com/part/view/DMP6051SSDQ" TargetMode="External"/><Relationship Id="rId_hyperlink_2519" Type="http://schemas.openxmlformats.org/officeDocument/2006/relationships/hyperlink" Target="https://www.diodes.com/datasheet/download/DMP6051SSS.pdf" TargetMode="External"/><Relationship Id="rId_hyperlink_2520" Type="http://schemas.openxmlformats.org/officeDocument/2006/relationships/hyperlink" Target="https://www.diodes.com/part/view/DMP6051SSS" TargetMode="External"/><Relationship Id="rId_hyperlink_2521" Type="http://schemas.openxmlformats.org/officeDocument/2006/relationships/hyperlink" Target="https://www.diodes.com/datasheet/download/DMP6051SSSQ.pdf" TargetMode="External"/><Relationship Id="rId_hyperlink_2522" Type="http://schemas.openxmlformats.org/officeDocument/2006/relationships/hyperlink" Target="https://www.diodes.com/part/view/DMP6051SSSQ" TargetMode="External"/><Relationship Id="rId_hyperlink_2523" Type="http://schemas.openxmlformats.org/officeDocument/2006/relationships/hyperlink" Target="https://www.diodes.com/datasheet/download/DMP610DL.pdf" TargetMode="External"/><Relationship Id="rId_hyperlink_2524" Type="http://schemas.openxmlformats.org/officeDocument/2006/relationships/hyperlink" Target="https://www.diodes.com/part/view/DMP610DL" TargetMode="External"/><Relationship Id="rId_hyperlink_2525" Type="http://schemas.openxmlformats.org/officeDocument/2006/relationships/hyperlink" Target="https://www.diodes.com/datasheet/download/DMP610DLQ.pdf" TargetMode="External"/><Relationship Id="rId_hyperlink_2526" Type="http://schemas.openxmlformats.org/officeDocument/2006/relationships/hyperlink" Target="https://www.diodes.com/part/view/DMP610DLQ" TargetMode="External"/><Relationship Id="rId_hyperlink_2527" Type="http://schemas.openxmlformats.org/officeDocument/2006/relationships/hyperlink" Target="https://www.diodes.com/datasheet/download/DMP6110SFDF.pdf" TargetMode="External"/><Relationship Id="rId_hyperlink_2528" Type="http://schemas.openxmlformats.org/officeDocument/2006/relationships/hyperlink" Target="https://www.diodes.com/part/view/DMP6110SFDF" TargetMode="External"/><Relationship Id="rId_hyperlink_2529" Type="http://schemas.openxmlformats.org/officeDocument/2006/relationships/hyperlink" Target="https://www.diodes.com/datasheet/download/DMP6110SFDFQ.pdf" TargetMode="External"/><Relationship Id="rId_hyperlink_2530" Type="http://schemas.openxmlformats.org/officeDocument/2006/relationships/hyperlink" Target="https://www.diodes.com/part/view/DMP6110SFDFQ" TargetMode="External"/><Relationship Id="rId_hyperlink_2531" Type="http://schemas.openxmlformats.org/officeDocument/2006/relationships/hyperlink" Target="https://www.diodes.com/datasheet/download/DMP6110SSD.pdf" TargetMode="External"/><Relationship Id="rId_hyperlink_2532" Type="http://schemas.openxmlformats.org/officeDocument/2006/relationships/hyperlink" Target="https://www.diodes.com/part/view/DMP6110SSD" TargetMode="External"/><Relationship Id="rId_hyperlink_2533" Type="http://schemas.openxmlformats.org/officeDocument/2006/relationships/hyperlink" Target="https://www.diodes.com/datasheet/download/DMP6110SSDQ.pdf" TargetMode="External"/><Relationship Id="rId_hyperlink_2534" Type="http://schemas.openxmlformats.org/officeDocument/2006/relationships/hyperlink" Target="https://www.diodes.com/part/view/DMP6110SSDQ" TargetMode="External"/><Relationship Id="rId_hyperlink_2535" Type="http://schemas.openxmlformats.org/officeDocument/2006/relationships/hyperlink" Target="https://www.diodes.com/datasheet/download/DMP6110SSS.pdf" TargetMode="External"/><Relationship Id="rId_hyperlink_2536" Type="http://schemas.openxmlformats.org/officeDocument/2006/relationships/hyperlink" Target="https://www.diodes.com/part/view/DMP6110SSS" TargetMode="External"/><Relationship Id="rId_hyperlink_2537" Type="http://schemas.openxmlformats.org/officeDocument/2006/relationships/hyperlink" Target="https://www.diodes.com/datasheet/download/DMP6110SSSQ.pdf" TargetMode="External"/><Relationship Id="rId_hyperlink_2538" Type="http://schemas.openxmlformats.org/officeDocument/2006/relationships/hyperlink" Target="https://www.diodes.com/part/view/DMP6110SSSQ" TargetMode="External"/><Relationship Id="rId_hyperlink_2539" Type="http://schemas.openxmlformats.org/officeDocument/2006/relationships/hyperlink" Target="https://www.diodes.com/datasheet/download/DMP6110SVT.pdf" TargetMode="External"/><Relationship Id="rId_hyperlink_2540" Type="http://schemas.openxmlformats.org/officeDocument/2006/relationships/hyperlink" Target="https://www.diodes.com/part/view/DMP6110SVT" TargetMode="External"/><Relationship Id="rId_hyperlink_2541" Type="http://schemas.openxmlformats.org/officeDocument/2006/relationships/hyperlink" Target="https://www.diodes.com/datasheet/download/DMP6110SVTQ.pdf" TargetMode="External"/><Relationship Id="rId_hyperlink_2542" Type="http://schemas.openxmlformats.org/officeDocument/2006/relationships/hyperlink" Target="https://www.diodes.com/part/view/DMP6110SVTQ" TargetMode="External"/><Relationship Id="rId_hyperlink_2543" Type="http://schemas.openxmlformats.org/officeDocument/2006/relationships/hyperlink" Target="https://www.diodes.com/datasheet/download/DMP6111SVT.pdf" TargetMode="External"/><Relationship Id="rId_hyperlink_2544" Type="http://schemas.openxmlformats.org/officeDocument/2006/relationships/hyperlink" Target="https://www.diodes.com/part/view/DMP6111SVT" TargetMode="External"/><Relationship Id="rId_hyperlink_2545" Type="http://schemas.openxmlformats.org/officeDocument/2006/relationships/hyperlink" Target="https://www.diodes.com/datasheet/download/DMP6111SVTQ.pdf" TargetMode="External"/><Relationship Id="rId_hyperlink_2546" Type="http://schemas.openxmlformats.org/officeDocument/2006/relationships/hyperlink" Target="https://www.diodes.com/part/view/DMP6111SVTQ" TargetMode="External"/><Relationship Id="rId_hyperlink_2547" Type="http://schemas.openxmlformats.org/officeDocument/2006/relationships/hyperlink" Target="https://www.diodes.com/datasheet/download/DMP6180SK3.pdf" TargetMode="External"/><Relationship Id="rId_hyperlink_2548" Type="http://schemas.openxmlformats.org/officeDocument/2006/relationships/hyperlink" Target="https://www.diodes.com/part/view/DMP6180SK3" TargetMode="External"/><Relationship Id="rId_hyperlink_2549" Type="http://schemas.openxmlformats.org/officeDocument/2006/relationships/hyperlink" Target="https://www.diodes.com/datasheet/download/DMP6180SK3Q.pdf" TargetMode="External"/><Relationship Id="rId_hyperlink_2550" Type="http://schemas.openxmlformats.org/officeDocument/2006/relationships/hyperlink" Target="https://www.diodes.com/part/view/DMP6180SK3Q" TargetMode="External"/><Relationship Id="rId_hyperlink_2551" Type="http://schemas.openxmlformats.org/officeDocument/2006/relationships/hyperlink" Target="https://www.diodes.com/datasheet/download/DMP6185SE.pdf" TargetMode="External"/><Relationship Id="rId_hyperlink_2552" Type="http://schemas.openxmlformats.org/officeDocument/2006/relationships/hyperlink" Target="https://www.diodes.com/part/view/DMP6185SE" TargetMode="External"/><Relationship Id="rId_hyperlink_2553" Type="http://schemas.openxmlformats.org/officeDocument/2006/relationships/hyperlink" Target="https://www.diodes.com/datasheet/download/DMP6185SEQ.pdf" TargetMode="External"/><Relationship Id="rId_hyperlink_2554" Type="http://schemas.openxmlformats.org/officeDocument/2006/relationships/hyperlink" Target="https://www.diodes.com/part/view/DMP6185SEQ" TargetMode="External"/><Relationship Id="rId_hyperlink_2555" Type="http://schemas.openxmlformats.org/officeDocument/2006/relationships/hyperlink" Target="https://www.diodes.com/datasheet/download/DMP6185SK3.pdf" TargetMode="External"/><Relationship Id="rId_hyperlink_2556" Type="http://schemas.openxmlformats.org/officeDocument/2006/relationships/hyperlink" Target="https://www.diodes.com/part/view/DMP6185SK3" TargetMode="External"/><Relationship Id="rId_hyperlink_2557" Type="http://schemas.openxmlformats.org/officeDocument/2006/relationships/hyperlink" Target="https://www.diodes.com/datasheet/download/DMP6250SE.pdf" TargetMode="External"/><Relationship Id="rId_hyperlink_2558" Type="http://schemas.openxmlformats.org/officeDocument/2006/relationships/hyperlink" Target="https://www.diodes.com/part/view/DMP6250SE" TargetMode="External"/><Relationship Id="rId_hyperlink_2559" Type="http://schemas.openxmlformats.org/officeDocument/2006/relationships/hyperlink" Target="https://www.diodes.com/datasheet/download/DMP6250SEQ.pdf" TargetMode="External"/><Relationship Id="rId_hyperlink_2560" Type="http://schemas.openxmlformats.org/officeDocument/2006/relationships/hyperlink" Target="https://www.diodes.com/part/view/DMP6250SEQ" TargetMode="External"/><Relationship Id="rId_hyperlink_2561" Type="http://schemas.openxmlformats.org/officeDocument/2006/relationships/hyperlink" Target="https://www.diodes.com/datasheet/download/DMP6250SFDF.pdf" TargetMode="External"/><Relationship Id="rId_hyperlink_2562" Type="http://schemas.openxmlformats.org/officeDocument/2006/relationships/hyperlink" Target="https://www.diodes.com/part/view/DMP6250SFDF" TargetMode="External"/><Relationship Id="rId_hyperlink_2563" Type="http://schemas.openxmlformats.org/officeDocument/2006/relationships/hyperlink" Target="https://www.diodes.com/datasheet/download/DMP6350S.pdf" TargetMode="External"/><Relationship Id="rId_hyperlink_2564" Type="http://schemas.openxmlformats.org/officeDocument/2006/relationships/hyperlink" Target="https://www.diodes.com/part/view/DMP6350S" TargetMode="External"/><Relationship Id="rId_hyperlink_2565" Type="http://schemas.openxmlformats.org/officeDocument/2006/relationships/hyperlink" Target="https://www.diodes.com/datasheet/download/DMP6350SQ.pdf" TargetMode="External"/><Relationship Id="rId_hyperlink_2566" Type="http://schemas.openxmlformats.org/officeDocument/2006/relationships/hyperlink" Target="https://www.diodes.com/part/view/DMP6350SQ" TargetMode="External"/><Relationship Id="rId_hyperlink_2567" Type="http://schemas.openxmlformats.org/officeDocument/2006/relationships/hyperlink" Target="https://www.diodes.com/datasheet/download/DMP65H11D0HSS.pdf" TargetMode="External"/><Relationship Id="rId_hyperlink_2568" Type="http://schemas.openxmlformats.org/officeDocument/2006/relationships/hyperlink" Target="https://www.diodes.com/part/view/DMP65H11D0HSS" TargetMode="External"/><Relationship Id="rId_hyperlink_2569" Type="http://schemas.openxmlformats.org/officeDocument/2006/relationships/hyperlink" Target="https://www.diodes.com/datasheet/download/DMP65H13D0HSS.pdf" TargetMode="External"/><Relationship Id="rId_hyperlink_2570" Type="http://schemas.openxmlformats.org/officeDocument/2006/relationships/hyperlink" Target="https://www.diodes.com/part/view/DMP65H13D0HSS" TargetMode="External"/><Relationship Id="rId_hyperlink_2571" Type="http://schemas.openxmlformats.org/officeDocument/2006/relationships/hyperlink" Target="https://www.diodes.com/datasheet/download/DMP65H20D0HSS.pdf" TargetMode="External"/><Relationship Id="rId_hyperlink_2572" Type="http://schemas.openxmlformats.org/officeDocument/2006/relationships/hyperlink" Target="https://www.diodes.com/part/view/DMP65H20D0HSS" TargetMode="External"/><Relationship Id="rId_hyperlink_2573" Type="http://schemas.openxmlformats.org/officeDocument/2006/relationships/hyperlink" Target="https://www.diodes.com/datasheet/download/DMP65H9D0HSS.pdf" TargetMode="External"/><Relationship Id="rId_hyperlink_2574" Type="http://schemas.openxmlformats.org/officeDocument/2006/relationships/hyperlink" Target="https://www.diodes.com/part/view/DMP65H9D0HSS" TargetMode="External"/><Relationship Id="rId_hyperlink_2575" Type="http://schemas.openxmlformats.org/officeDocument/2006/relationships/hyperlink" Target="https://www.diodes.com/datasheet/download/DMP68D0LFB.pdf" TargetMode="External"/><Relationship Id="rId_hyperlink_2576" Type="http://schemas.openxmlformats.org/officeDocument/2006/relationships/hyperlink" Target="https://www.diodes.com/part/view/DMP68D0LFB" TargetMode="External"/><Relationship Id="rId_hyperlink_2577" Type="http://schemas.openxmlformats.org/officeDocument/2006/relationships/hyperlink" Target="https://www.diodes.com/datasheet/download/DMP68D1L.pdf" TargetMode="External"/><Relationship Id="rId_hyperlink_2578" Type="http://schemas.openxmlformats.org/officeDocument/2006/relationships/hyperlink" Target="https://www.diodes.com/part/view/DMP68D1L" TargetMode="External"/><Relationship Id="rId_hyperlink_2579" Type="http://schemas.openxmlformats.org/officeDocument/2006/relationships/hyperlink" Target="https://www.diodes.com/datasheet/download/DMP68D1LFB.pdf" TargetMode="External"/><Relationship Id="rId_hyperlink_2580" Type="http://schemas.openxmlformats.org/officeDocument/2006/relationships/hyperlink" Target="https://www.diodes.com/part/view/DMP68D1LFB" TargetMode="External"/><Relationship Id="rId_hyperlink_2581" Type="http://schemas.openxmlformats.org/officeDocument/2006/relationships/hyperlink" Target="https://www.diodes.com/datasheet/download/DMP68D1LQ.pdf" TargetMode="External"/><Relationship Id="rId_hyperlink_2582" Type="http://schemas.openxmlformats.org/officeDocument/2006/relationships/hyperlink" Target="https://www.diodes.com/part/view/DMP68D1LQ" TargetMode="External"/><Relationship Id="rId_hyperlink_2583" Type="http://schemas.openxmlformats.org/officeDocument/2006/relationships/hyperlink" Target="https://www.diodes.com/datasheet/download/DMP68D1LV.pdf" TargetMode="External"/><Relationship Id="rId_hyperlink_2584" Type="http://schemas.openxmlformats.org/officeDocument/2006/relationships/hyperlink" Target="https://www.diodes.com/part/view/DMP68D1LV" TargetMode="External"/><Relationship Id="rId_hyperlink_2585" Type="http://schemas.openxmlformats.org/officeDocument/2006/relationships/hyperlink" Target="https://www.diodes.com/datasheet/download/DMP68D1LVQ.pdf" TargetMode="External"/><Relationship Id="rId_hyperlink_2586" Type="http://schemas.openxmlformats.org/officeDocument/2006/relationships/hyperlink" Target="https://www.diodes.com/part/view/DMP68D1LVQ" TargetMode="External"/><Relationship Id="rId_hyperlink_2587" Type="http://schemas.openxmlformats.org/officeDocument/2006/relationships/hyperlink" Target="https://www.diodes.com/datasheet/download/DMPH1006UPS.pdf" TargetMode="External"/><Relationship Id="rId_hyperlink_2588" Type="http://schemas.openxmlformats.org/officeDocument/2006/relationships/hyperlink" Target="https://www.diodes.com/part/view/DMPH1006UPS" TargetMode="External"/><Relationship Id="rId_hyperlink_2589" Type="http://schemas.openxmlformats.org/officeDocument/2006/relationships/hyperlink" Target="https://www.diodes.com/datasheet/download/DMPH1006UPSQ.pdf" TargetMode="External"/><Relationship Id="rId_hyperlink_2590" Type="http://schemas.openxmlformats.org/officeDocument/2006/relationships/hyperlink" Target="https://www.diodes.com/part/view/DMPH1006UPSQ" TargetMode="External"/><Relationship Id="rId_hyperlink_2591" Type="http://schemas.openxmlformats.org/officeDocument/2006/relationships/hyperlink" Target="https://www.diodes.com/datasheet/download/DMPH16M1UPSW.pdf" TargetMode="External"/><Relationship Id="rId_hyperlink_2592" Type="http://schemas.openxmlformats.org/officeDocument/2006/relationships/hyperlink" Target="https://www.diodes.com/part/view/DMPH16M1UPSW" TargetMode="External"/><Relationship Id="rId_hyperlink_2593" Type="http://schemas.openxmlformats.org/officeDocument/2006/relationships/hyperlink" Target="https://www.diodes.com/datasheet/download/DMPH2040UVTQ.pdf" TargetMode="External"/><Relationship Id="rId_hyperlink_2594" Type="http://schemas.openxmlformats.org/officeDocument/2006/relationships/hyperlink" Target="https://www.diodes.com/part/view/DMPH2040UVTQ" TargetMode="External"/><Relationship Id="rId_hyperlink_2595" Type="http://schemas.openxmlformats.org/officeDocument/2006/relationships/hyperlink" Target="https://www.diodes.com/datasheet/download/DMPH3010LK3.pdf" TargetMode="External"/><Relationship Id="rId_hyperlink_2596" Type="http://schemas.openxmlformats.org/officeDocument/2006/relationships/hyperlink" Target="https://www.diodes.com/part/view/DMPH3010LK3" TargetMode="External"/><Relationship Id="rId_hyperlink_2597" Type="http://schemas.openxmlformats.org/officeDocument/2006/relationships/hyperlink" Target="https://www.diodes.com/datasheet/download/DMPH3010LK3Q.pdf" TargetMode="External"/><Relationship Id="rId_hyperlink_2598" Type="http://schemas.openxmlformats.org/officeDocument/2006/relationships/hyperlink" Target="https://www.diodes.com/part/view/DMPH3010LK3Q" TargetMode="External"/><Relationship Id="rId_hyperlink_2599" Type="http://schemas.openxmlformats.org/officeDocument/2006/relationships/hyperlink" Target="https://www.diodes.com/datasheet/download/DMPH3010LPS.pdf" TargetMode="External"/><Relationship Id="rId_hyperlink_2600" Type="http://schemas.openxmlformats.org/officeDocument/2006/relationships/hyperlink" Target="https://www.diodes.com/part/view/DMPH3010LPS" TargetMode="External"/><Relationship Id="rId_hyperlink_2601" Type="http://schemas.openxmlformats.org/officeDocument/2006/relationships/hyperlink" Target="https://www.diodes.com/datasheet/download/DMPH3010LPSQ.pdf" TargetMode="External"/><Relationship Id="rId_hyperlink_2602" Type="http://schemas.openxmlformats.org/officeDocument/2006/relationships/hyperlink" Target="https://www.diodes.com/part/view/DMPH3010LPSQ" TargetMode="External"/><Relationship Id="rId_hyperlink_2603" Type="http://schemas.openxmlformats.org/officeDocument/2006/relationships/hyperlink" Target="https://www.diodes.com/datasheet/download/DMPH33M8SPSW.pdf" TargetMode="External"/><Relationship Id="rId_hyperlink_2604" Type="http://schemas.openxmlformats.org/officeDocument/2006/relationships/hyperlink" Target="https://www.diodes.com/part/view/DMPH33M8SPSW" TargetMode="External"/><Relationship Id="rId_hyperlink_2605" Type="http://schemas.openxmlformats.org/officeDocument/2006/relationships/hyperlink" Target="https://www.diodes.com/datasheet/download/DMPH33M8SPSWQ.pdf" TargetMode="External"/><Relationship Id="rId_hyperlink_2606" Type="http://schemas.openxmlformats.org/officeDocument/2006/relationships/hyperlink" Target="https://www.diodes.com/part/view/DMPH33M8SPSWQ" TargetMode="External"/><Relationship Id="rId_hyperlink_2607" Type="http://schemas.openxmlformats.org/officeDocument/2006/relationships/hyperlink" Target="https://www.diodes.com/datasheet/download/DMPH4009SPSW.pdf" TargetMode="External"/><Relationship Id="rId_hyperlink_2608" Type="http://schemas.openxmlformats.org/officeDocument/2006/relationships/hyperlink" Target="https://www.diodes.com/part/view/DMPH4009SPSW" TargetMode="External"/><Relationship Id="rId_hyperlink_2609" Type="http://schemas.openxmlformats.org/officeDocument/2006/relationships/hyperlink" Target="https://www.diodes.com/datasheet/download/DMPH4009SPSWQ.pdf" TargetMode="External"/><Relationship Id="rId_hyperlink_2610" Type="http://schemas.openxmlformats.org/officeDocument/2006/relationships/hyperlink" Target="https://www.diodes.com/part/view/DMPH4009SPSWQ" TargetMode="External"/><Relationship Id="rId_hyperlink_2611" Type="http://schemas.openxmlformats.org/officeDocument/2006/relationships/hyperlink" Target="https://www.diodes.com/datasheet/download/DMPH4009SSS.pdf" TargetMode="External"/><Relationship Id="rId_hyperlink_2612" Type="http://schemas.openxmlformats.org/officeDocument/2006/relationships/hyperlink" Target="https://www.diodes.com/part/view/DMPH4009SSS" TargetMode="External"/><Relationship Id="rId_hyperlink_2613" Type="http://schemas.openxmlformats.org/officeDocument/2006/relationships/hyperlink" Target="https://www.diodes.com/datasheet/download/DMPH4009SSSQ.pdf" TargetMode="External"/><Relationship Id="rId_hyperlink_2614" Type="http://schemas.openxmlformats.org/officeDocument/2006/relationships/hyperlink" Target="https://www.diodes.com/part/view/DMPH4009SSSQ" TargetMode="External"/><Relationship Id="rId_hyperlink_2615" Type="http://schemas.openxmlformats.org/officeDocument/2006/relationships/hyperlink" Target="https://www.diodes.com/datasheet/download/DMPH4011SK3.pdf" TargetMode="External"/><Relationship Id="rId_hyperlink_2616" Type="http://schemas.openxmlformats.org/officeDocument/2006/relationships/hyperlink" Target="https://www.diodes.com/part/view/DMPH4011SK3" TargetMode="External"/><Relationship Id="rId_hyperlink_2617" Type="http://schemas.openxmlformats.org/officeDocument/2006/relationships/hyperlink" Target="https://www.diodes.com/datasheet/download/DMPH4011SK3Q.pdf" TargetMode="External"/><Relationship Id="rId_hyperlink_2618" Type="http://schemas.openxmlformats.org/officeDocument/2006/relationships/hyperlink" Target="https://www.diodes.com/part/view/DMPH4011SK3Q" TargetMode="External"/><Relationship Id="rId_hyperlink_2619" Type="http://schemas.openxmlformats.org/officeDocument/2006/relationships/hyperlink" Target="https://www.diodes.com/datasheet/download/DMPH4013SK3.pdf" TargetMode="External"/><Relationship Id="rId_hyperlink_2620" Type="http://schemas.openxmlformats.org/officeDocument/2006/relationships/hyperlink" Target="https://www.diodes.com/part/view/DMPH4013SK3" TargetMode="External"/><Relationship Id="rId_hyperlink_2621" Type="http://schemas.openxmlformats.org/officeDocument/2006/relationships/hyperlink" Target="https://www.diodes.com/datasheet/download/DMPH4013SK3Q.pdf" TargetMode="External"/><Relationship Id="rId_hyperlink_2622" Type="http://schemas.openxmlformats.org/officeDocument/2006/relationships/hyperlink" Target="https://www.diodes.com/part/view/DMPH4013SK3Q" TargetMode="External"/><Relationship Id="rId_hyperlink_2623" Type="http://schemas.openxmlformats.org/officeDocument/2006/relationships/hyperlink" Target="https://www.diodes.com/datasheet/download/DMPH4013SPSQ.pdf" TargetMode="External"/><Relationship Id="rId_hyperlink_2624" Type="http://schemas.openxmlformats.org/officeDocument/2006/relationships/hyperlink" Target="https://www.diodes.com/part/view/DMPH4013SPSQ" TargetMode="External"/><Relationship Id="rId_hyperlink_2625" Type="http://schemas.openxmlformats.org/officeDocument/2006/relationships/hyperlink" Target="https://www.diodes.com/datasheet/download/DMPH4013SPSW.pdf" TargetMode="External"/><Relationship Id="rId_hyperlink_2626" Type="http://schemas.openxmlformats.org/officeDocument/2006/relationships/hyperlink" Target="https://www.diodes.com/part/view/DMPH4013SPSW" TargetMode="External"/><Relationship Id="rId_hyperlink_2627" Type="http://schemas.openxmlformats.org/officeDocument/2006/relationships/hyperlink" Target="https://www.diodes.com/datasheet/download/DMPH4013SPSWQ.pdf" TargetMode="External"/><Relationship Id="rId_hyperlink_2628" Type="http://schemas.openxmlformats.org/officeDocument/2006/relationships/hyperlink" Target="https://www.diodes.com/part/view/DMPH4013SPSWQ" TargetMode="External"/><Relationship Id="rId_hyperlink_2629" Type="http://schemas.openxmlformats.org/officeDocument/2006/relationships/hyperlink" Target="https://www.diodes.com/datasheet/download/DMPH4015SK3Q.pdf" TargetMode="External"/><Relationship Id="rId_hyperlink_2630" Type="http://schemas.openxmlformats.org/officeDocument/2006/relationships/hyperlink" Target="https://www.diodes.com/part/view/DMPH4015SK3Q" TargetMode="External"/><Relationship Id="rId_hyperlink_2631" Type="http://schemas.openxmlformats.org/officeDocument/2006/relationships/hyperlink" Target="https://www.diodes.com/datasheet/download/DMPH4015SPSQ.pdf" TargetMode="External"/><Relationship Id="rId_hyperlink_2632" Type="http://schemas.openxmlformats.org/officeDocument/2006/relationships/hyperlink" Target="https://www.diodes.com/part/view/DMPH4015SPSQ" TargetMode="External"/><Relationship Id="rId_hyperlink_2633" Type="http://schemas.openxmlformats.org/officeDocument/2006/relationships/hyperlink" Target="https://www.diodes.com/datasheet/download/DMPH4015SPSWQ.pdf" TargetMode="External"/><Relationship Id="rId_hyperlink_2634" Type="http://schemas.openxmlformats.org/officeDocument/2006/relationships/hyperlink" Target="https://www.diodes.com/part/view/DMPH4015SPSWQ" TargetMode="External"/><Relationship Id="rId_hyperlink_2635" Type="http://schemas.openxmlformats.org/officeDocument/2006/relationships/hyperlink" Target="https://www.diodes.com/datasheet/download/DMPH4015SSSQ.pdf" TargetMode="External"/><Relationship Id="rId_hyperlink_2636" Type="http://schemas.openxmlformats.org/officeDocument/2006/relationships/hyperlink" Target="https://www.diodes.com/part/view/DMPH4015SSSQ" TargetMode="External"/><Relationship Id="rId_hyperlink_2637" Type="http://schemas.openxmlformats.org/officeDocument/2006/relationships/hyperlink" Target="https://www.diodes.com/datasheet/download/DMPH4016SK3.pdf" TargetMode="External"/><Relationship Id="rId_hyperlink_2638" Type="http://schemas.openxmlformats.org/officeDocument/2006/relationships/hyperlink" Target="https://www.diodes.com/part/view/DMPH4016SK3" TargetMode="External"/><Relationship Id="rId_hyperlink_2639" Type="http://schemas.openxmlformats.org/officeDocument/2006/relationships/hyperlink" Target="https://www.diodes.com/datasheet/download/DMPH4016SK3Q.pdf" TargetMode="External"/><Relationship Id="rId_hyperlink_2640" Type="http://schemas.openxmlformats.org/officeDocument/2006/relationships/hyperlink" Target="https://www.diodes.com/part/view/DMPH4016SK3Q" TargetMode="External"/><Relationship Id="rId_hyperlink_2641" Type="http://schemas.openxmlformats.org/officeDocument/2006/relationships/hyperlink" Target="https://www.diodes.com/datasheet/download/DMPH4016SPSW.pdf" TargetMode="External"/><Relationship Id="rId_hyperlink_2642" Type="http://schemas.openxmlformats.org/officeDocument/2006/relationships/hyperlink" Target="https://www.diodes.com/part/view/DMPH4016SPSW" TargetMode="External"/><Relationship Id="rId_hyperlink_2643" Type="http://schemas.openxmlformats.org/officeDocument/2006/relationships/hyperlink" Target="https://www.diodes.com/datasheet/download/DMPH4016SPSWQ.pdf" TargetMode="External"/><Relationship Id="rId_hyperlink_2644" Type="http://schemas.openxmlformats.org/officeDocument/2006/relationships/hyperlink" Target="https://www.diodes.com/part/view/DMPH4016SPSWQ" TargetMode="External"/><Relationship Id="rId_hyperlink_2645" Type="http://schemas.openxmlformats.org/officeDocument/2006/relationships/hyperlink" Target="https://www.diodes.com/datasheet/download/DMPH4016SSS.pdf" TargetMode="External"/><Relationship Id="rId_hyperlink_2646" Type="http://schemas.openxmlformats.org/officeDocument/2006/relationships/hyperlink" Target="https://www.diodes.com/part/view/DMPH4016SSS" TargetMode="External"/><Relationship Id="rId_hyperlink_2647" Type="http://schemas.openxmlformats.org/officeDocument/2006/relationships/hyperlink" Target="https://www.diodes.com/datasheet/download/DMPH4016SSSQ.pdf" TargetMode="External"/><Relationship Id="rId_hyperlink_2648" Type="http://schemas.openxmlformats.org/officeDocument/2006/relationships/hyperlink" Target="https://www.diodes.com/part/view/DMPH4016SSSQ" TargetMode="External"/><Relationship Id="rId_hyperlink_2649" Type="http://schemas.openxmlformats.org/officeDocument/2006/relationships/hyperlink" Target="https://www.diodes.com/datasheet/download/DMPH4023SK3.pdf" TargetMode="External"/><Relationship Id="rId_hyperlink_2650" Type="http://schemas.openxmlformats.org/officeDocument/2006/relationships/hyperlink" Target="https://www.diodes.com/part/view/DMPH4023SK3" TargetMode="External"/><Relationship Id="rId_hyperlink_2651" Type="http://schemas.openxmlformats.org/officeDocument/2006/relationships/hyperlink" Target="https://www.diodes.com/datasheet/download/DMPH4023SK3Q.pdf" TargetMode="External"/><Relationship Id="rId_hyperlink_2652" Type="http://schemas.openxmlformats.org/officeDocument/2006/relationships/hyperlink" Target="https://www.diodes.com/part/view/DMPH4023SK3Q" TargetMode="External"/><Relationship Id="rId_hyperlink_2653" Type="http://schemas.openxmlformats.org/officeDocument/2006/relationships/hyperlink" Target="https://www.diodes.com/datasheet/download/DMPH4023SPDWQ.pdf" TargetMode="External"/><Relationship Id="rId_hyperlink_2654" Type="http://schemas.openxmlformats.org/officeDocument/2006/relationships/hyperlink" Target="https://www.diodes.com/part/view/DMPH4023SPDWQ" TargetMode="External"/><Relationship Id="rId_hyperlink_2655" Type="http://schemas.openxmlformats.org/officeDocument/2006/relationships/hyperlink" Target="https://www.diodes.com/datasheet/download/DMPH4025SFVWQ.pdf" TargetMode="External"/><Relationship Id="rId_hyperlink_2656" Type="http://schemas.openxmlformats.org/officeDocument/2006/relationships/hyperlink" Target="https://www.diodes.com/part/view/DMPH4025SFVWQ" TargetMode="External"/><Relationship Id="rId_hyperlink_2657" Type="http://schemas.openxmlformats.org/officeDocument/2006/relationships/hyperlink" Target="https://www.diodes.com/datasheet/download/DMPH4026SFVW.pdf" TargetMode="External"/><Relationship Id="rId_hyperlink_2658" Type="http://schemas.openxmlformats.org/officeDocument/2006/relationships/hyperlink" Target="https://www.diodes.com/part/view/DMPH4026SFVW" TargetMode="External"/><Relationship Id="rId_hyperlink_2659" Type="http://schemas.openxmlformats.org/officeDocument/2006/relationships/hyperlink" Target="https://www.diodes.com/datasheet/download/DMPH4026SFVWQ.pdf" TargetMode="External"/><Relationship Id="rId_hyperlink_2660" Type="http://schemas.openxmlformats.org/officeDocument/2006/relationships/hyperlink" Target="https://www.diodes.com/part/view/DMPH4026SFVWQ" TargetMode="External"/><Relationship Id="rId_hyperlink_2661" Type="http://schemas.openxmlformats.org/officeDocument/2006/relationships/hyperlink" Target="https://www.diodes.com/datasheet/download/DMPH4029LFG.pdf" TargetMode="External"/><Relationship Id="rId_hyperlink_2662" Type="http://schemas.openxmlformats.org/officeDocument/2006/relationships/hyperlink" Target="https://www.diodes.com/part/view/DMPH4029LFG" TargetMode="External"/><Relationship Id="rId_hyperlink_2663" Type="http://schemas.openxmlformats.org/officeDocument/2006/relationships/hyperlink" Target="https://www.diodes.com/datasheet/download/DMPH4029LFGQ.pdf" TargetMode="External"/><Relationship Id="rId_hyperlink_2664" Type="http://schemas.openxmlformats.org/officeDocument/2006/relationships/hyperlink" Target="https://www.diodes.com/part/view/DMPH4029LFGQ" TargetMode="External"/><Relationship Id="rId_hyperlink_2665" Type="http://schemas.openxmlformats.org/officeDocument/2006/relationships/hyperlink" Target="https://www.diodes.com/datasheet/download/DMPH6023SK3.pdf" TargetMode="External"/><Relationship Id="rId_hyperlink_2666" Type="http://schemas.openxmlformats.org/officeDocument/2006/relationships/hyperlink" Target="https://www.diodes.com/part/view/DMPH6023SK3" TargetMode="External"/><Relationship Id="rId_hyperlink_2667" Type="http://schemas.openxmlformats.org/officeDocument/2006/relationships/hyperlink" Target="https://www.diodes.com/datasheet/download/DMPH6023SK3Q.pdf" TargetMode="External"/><Relationship Id="rId_hyperlink_2668" Type="http://schemas.openxmlformats.org/officeDocument/2006/relationships/hyperlink" Target="https://www.diodes.com/part/view/DMPH6023SK3Q" TargetMode="External"/><Relationship Id="rId_hyperlink_2669" Type="http://schemas.openxmlformats.org/officeDocument/2006/relationships/hyperlink" Target="https://www.diodes.com/datasheet/download/DMPH6050SFGQ.pdf" TargetMode="External"/><Relationship Id="rId_hyperlink_2670" Type="http://schemas.openxmlformats.org/officeDocument/2006/relationships/hyperlink" Target="https://www.diodes.com/part/view/DMPH6050SFGQ" TargetMode="External"/><Relationship Id="rId_hyperlink_2671" Type="http://schemas.openxmlformats.org/officeDocument/2006/relationships/hyperlink" Target="https://www.diodes.com/datasheet/download/DMPH6050SK3.pdf" TargetMode="External"/><Relationship Id="rId_hyperlink_2672" Type="http://schemas.openxmlformats.org/officeDocument/2006/relationships/hyperlink" Target="https://www.diodes.com/part/view/DMPH6050SK3" TargetMode="External"/><Relationship Id="rId_hyperlink_2673" Type="http://schemas.openxmlformats.org/officeDocument/2006/relationships/hyperlink" Target="https://www.diodes.com/datasheet/download/DMPH6050SK3Q.pdf" TargetMode="External"/><Relationship Id="rId_hyperlink_2674" Type="http://schemas.openxmlformats.org/officeDocument/2006/relationships/hyperlink" Target="https://www.diodes.com/part/view/DMPH6050SK3Q" TargetMode="External"/><Relationship Id="rId_hyperlink_2675" Type="http://schemas.openxmlformats.org/officeDocument/2006/relationships/hyperlink" Target="https://www.diodes.com/datasheet/download/DMPH6050SPD.pdf" TargetMode="External"/><Relationship Id="rId_hyperlink_2676" Type="http://schemas.openxmlformats.org/officeDocument/2006/relationships/hyperlink" Target="https://www.diodes.com/part/view/DMPH6050SPD" TargetMode="External"/><Relationship Id="rId_hyperlink_2677" Type="http://schemas.openxmlformats.org/officeDocument/2006/relationships/hyperlink" Target="https://www.diodes.com/datasheet/download/DMPH6050SPDQ.pdf" TargetMode="External"/><Relationship Id="rId_hyperlink_2678" Type="http://schemas.openxmlformats.org/officeDocument/2006/relationships/hyperlink" Target="https://www.diodes.com/part/view/DMPH6050SPDQ" TargetMode="External"/><Relationship Id="rId_hyperlink_2679" Type="http://schemas.openxmlformats.org/officeDocument/2006/relationships/hyperlink" Target="https://www.diodes.com/datasheet/download/DMPH6050SPDW.pdf" TargetMode="External"/><Relationship Id="rId_hyperlink_2680" Type="http://schemas.openxmlformats.org/officeDocument/2006/relationships/hyperlink" Target="https://www.diodes.com/part/view/DMPH6050SPDW" TargetMode="External"/><Relationship Id="rId_hyperlink_2681" Type="http://schemas.openxmlformats.org/officeDocument/2006/relationships/hyperlink" Target="https://www.diodes.com/datasheet/download/DMPH6050SPDWQ.pdf" TargetMode="External"/><Relationship Id="rId_hyperlink_2682" Type="http://schemas.openxmlformats.org/officeDocument/2006/relationships/hyperlink" Target="https://www.diodes.com/part/view/DMPH6050SPDWQ" TargetMode="External"/><Relationship Id="rId_hyperlink_2683" Type="http://schemas.openxmlformats.org/officeDocument/2006/relationships/hyperlink" Target="https://www.diodes.com/datasheet/download/DMPH6050SSD.pdf" TargetMode="External"/><Relationship Id="rId_hyperlink_2684" Type="http://schemas.openxmlformats.org/officeDocument/2006/relationships/hyperlink" Target="https://www.diodes.com/part/view/DMPH6050SSD" TargetMode="External"/><Relationship Id="rId_hyperlink_2685" Type="http://schemas.openxmlformats.org/officeDocument/2006/relationships/hyperlink" Target="https://www.diodes.com/datasheet/download/DMPH6050SSDQ.pdf" TargetMode="External"/><Relationship Id="rId_hyperlink_2686" Type="http://schemas.openxmlformats.org/officeDocument/2006/relationships/hyperlink" Target="https://www.diodes.com/part/view/DMPH6050SSDQ" TargetMode="External"/><Relationship Id="rId_hyperlink_2687" Type="http://schemas.openxmlformats.org/officeDocument/2006/relationships/hyperlink" Target="https://www.diodes.com/datasheet/download/DMPH6051SFVW.pdf" TargetMode="External"/><Relationship Id="rId_hyperlink_2688" Type="http://schemas.openxmlformats.org/officeDocument/2006/relationships/hyperlink" Target="https://www.diodes.com/part/view/DMPH6051SFVW" TargetMode="External"/><Relationship Id="rId_hyperlink_2689" Type="http://schemas.openxmlformats.org/officeDocument/2006/relationships/hyperlink" Target="https://www.diodes.com/datasheet/download/DMPH6051SFVWQ.pdf" TargetMode="External"/><Relationship Id="rId_hyperlink_2690" Type="http://schemas.openxmlformats.org/officeDocument/2006/relationships/hyperlink" Target="https://www.diodes.com/part/view/DMPH6051SFVWQ" TargetMode="External"/><Relationship Id="rId_hyperlink_2691" Type="http://schemas.openxmlformats.org/officeDocument/2006/relationships/hyperlink" Target="https://www.diodes.com/datasheet/download/DMPH6051SSD.pdf" TargetMode="External"/><Relationship Id="rId_hyperlink_2692" Type="http://schemas.openxmlformats.org/officeDocument/2006/relationships/hyperlink" Target="https://www.diodes.com/part/view/DMPH6051SSD" TargetMode="External"/><Relationship Id="rId_hyperlink_2693" Type="http://schemas.openxmlformats.org/officeDocument/2006/relationships/hyperlink" Target="https://www.diodes.com/datasheet/download/DMPH6051SSDQ.pdf" TargetMode="External"/><Relationship Id="rId_hyperlink_2694" Type="http://schemas.openxmlformats.org/officeDocument/2006/relationships/hyperlink" Target="https://www.diodes.com/part/view/DMPH6051SSDQ" TargetMode="External"/><Relationship Id="rId_hyperlink_2695" Type="http://schemas.openxmlformats.org/officeDocument/2006/relationships/hyperlink" Target="https://www.diodes.com/datasheet/download/DMPH6051SSS.pdf" TargetMode="External"/><Relationship Id="rId_hyperlink_2696" Type="http://schemas.openxmlformats.org/officeDocument/2006/relationships/hyperlink" Target="https://www.diodes.com/part/view/DMPH6051SSS" TargetMode="External"/><Relationship Id="rId_hyperlink_2697" Type="http://schemas.openxmlformats.org/officeDocument/2006/relationships/hyperlink" Target="https://www.diodes.com/datasheet/download/DMPH6051SSSQ.pdf" TargetMode="External"/><Relationship Id="rId_hyperlink_2698" Type="http://schemas.openxmlformats.org/officeDocument/2006/relationships/hyperlink" Target="https://www.diodes.com/part/view/DMPH6051SSSQ" TargetMode="External"/><Relationship Id="rId_hyperlink_2699" Type="http://schemas.openxmlformats.org/officeDocument/2006/relationships/hyperlink" Target="https://www.diodes.com/datasheet/download/DMPH6250S.pdf" TargetMode="External"/><Relationship Id="rId_hyperlink_2700" Type="http://schemas.openxmlformats.org/officeDocument/2006/relationships/hyperlink" Target="https://www.diodes.com/part/view/DMPH6250S" TargetMode="External"/><Relationship Id="rId_hyperlink_2701" Type="http://schemas.openxmlformats.org/officeDocument/2006/relationships/hyperlink" Target="https://www.diodes.com/datasheet/download/DMPH6250SQ.pdf" TargetMode="External"/><Relationship Id="rId_hyperlink_2702" Type="http://schemas.openxmlformats.org/officeDocument/2006/relationships/hyperlink" Target="https://www.diodes.com/part/view/DMPH6250SQ" TargetMode="External"/><Relationship Id="rId_hyperlink_2703" Type="http://schemas.openxmlformats.org/officeDocument/2006/relationships/hyperlink" Target="https://www.diodes.com/datasheet/download/DMS2085LSD.pdf" TargetMode="External"/><Relationship Id="rId_hyperlink_2704" Type="http://schemas.openxmlformats.org/officeDocument/2006/relationships/hyperlink" Target="https://www.diodes.com/part/view/DMS2085LSD" TargetMode="External"/><Relationship Id="rId_hyperlink_2705" Type="http://schemas.openxmlformats.org/officeDocument/2006/relationships/hyperlink" Target="https://www.diodes.com/datasheet/download/DMS2095LFDB.pdf" TargetMode="External"/><Relationship Id="rId_hyperlink_2706" Type="http://schemas.openxmlformats.org/officeDocument/2006/relationships/hyperlink" Target="https://www.diodes.com/part/view/DMS2095LFDB" TargetMode="External"/><Relationship Id="rId_hyperlink_2707" Type="http://schemas.openxmlformats.org/officeDocument/2006/relationships/hyperlink" Target="https://www.diodes.com/datasheet/download/DMS2120LFWB.pdf" TargetMode="External"/><Relationship Id="rId_hyperlink_2708" Type="http://schemas.openxmlformats.org/officeDocument/2006/relationships/hyperlink" Target="https://www.diodes.com/part/view/DMS2120LFWB" TargetMode="External"/><Relationship Id="rId_hyperlink_2709" Type="http://schemas.openxmlformats.org/officeDocument/2006/relationships/hyperlink" Target="https://www.diodes.com/datasheet/download/DMS2220LFDB.pdf" TargetMode="External"/><Relationship Id="rId_hyperlink_2710" Type="http://schemas.openxmlformats.org/officeDocument/2006/relationships/hyperlink" Target="https://www.diodes.com/part/view/DMS2220LFDB" TargetMode="External"/><Relationship Id="rId_hyperlink_2711" Type="http://schemas.openxmlformats.org/officeDocument/2006/relationships/hyperlink" Target="https://www.diodes.com/datasheet/download/DMS3014SFGQ.pdf" TargetMode="External"/><Relationship Id="rId_hyperlink_2712" Type="http://schemas.openxmlformats.org/officeDocument/2006/relationships/hyperlink" Target="https://www.diodes.com/part/view/DMS3014SFGQ" TargetMode="External"/><Relationship Id="rId_hyperlink_2713" Type="http://schemas.openxmlformats.org/officeDocument/2006/relationships/hyperlink" Target="https://www.diodes.com/datasheet/download/DMT10H003SPSW.pdf" TargetMode="External"/><Relationship Id="rId_hyperlink_2714" Type="http://schemas.openxmlformats.org/officeDocument/2006/relationships/hyperlink" Target="https://www.diodes.com/part/view/DMT10H003SPSW" TargetMode="External"/><Relationship Id="rId_hyperlink_2715" Type="http://schemas.openxmlformats.org/officeDocument/2006/relationships/hyperlink" Target="https://www.diodes.com/datasheet/download/DMT10H009LCG.pdf" TargetMode="External"/><Relationship Id="rId_hyperlink_2716" Type="http://schemas.openxmlformats.org/officeDocument/2006/relationships/hyperlink" Target="https://www.diodes.com/part/view/DMT10H009LCG" TargetMode="External"/><Relationship Id="rId_hyperlink_2717" Type="http://schemas.openxmlformats.org/officeDocument/2006/relationships/hyperlink" Target="https://www.diodes.com/datasheet/download/DMT10H009LFG+.pdf" TargetMode="External"/><Relationship Id="rId_hyperlink_2718" Type="http://schemas.openxmlformats.org/officeDocument/2006/relationships/hyperlink" Target="https://www.diodes.com/part/view/DMT10H009LFG" TargetMode="External"/><Relationship Id="rId_hyperlink_2719" Type="http://schemas.openxmlformats.org/officeDocument/2006/relationships/hyperlink" Target="https://www.diodes.com/datasheet/download/DMT10H009LH3.pdf" TargetMode="External"/><Relationship Id="rId_hyperlink_2720" Type="http://schemas.openxmlformats.org/officeDocument/2006/relationships/hyperlink" Target="https://www.diodes.com/part/view/DMT10H009LH3" TargetMode="External"/><Relationship Id="rId_hyperlink_2721" Type="http://schemas.openxmlformats.org/officeDocument/2006/relationships/hyperlink" Target="https://www.diodes.com/datasheet/download/DMT10H009LK3.pdf" TargetMode="External"/><Relationship Id="rId_hyperlink_2722" Type="http://schemas.openxmlformats.org/officeDocument/2006/relationships/hyperlink" Target="https://www.diodes.com/part/view/DMT10H009LK3" TargetMode="External"/><Relationship Id="rId_hyperlink_2723" Type="http://schemas.openxmlformats.org/officeDocument/2006/relationships/hyperlink" Target="https://www.diodes.com/datasheet/download/DMT10H009LPS.pdf" TargetMode="External"/><Relationship Id="rId_hyperlink_2724" Type="http://schemas.openxmlformats.org/officeDocument/2006/relationships/hyperlink" Target="https://www.diodes.com/part/view/DMT10H009LPS" TargetMode="External"/><Relationship Id="rId_hyperlink_2725" Type="http://schemas.openxmlformats.org/officeDocument/2006/relationships/hyperlink" Target="https://www.diodes.com/datasheet/download/DMT10H009LSS.pdf" TargetMode="External"/><Relationship Id="rId_hyperlink_2726" Type="http://schemas.openxmlformats.org/officeDocument/2006/relationships/hyperlink" Target="https://www.diodes.com/part/view/DMT10H009LSS" TargetMode="External"/><Relationship Id="rId_hyperlink_2727" Type="http://schemas.openxmlformats.org/officeDocument/2006/relationships/hyperlink" Target="https://www.diodes.com/datasheet/download/DMT10H009LSSQ.pdf" TargetMode="External"/><Relationship Id="rId_hyperlink_2728" Type="http://schemas.openxmlformats.org/officeDocument/2006/relationships/hyperlink" Target="https://www.diodes.com/part/view/DMT10H009LSSQ" TargetMode="External"/><Relationship Id="rId_hyperlink_2729" Type="http://schemas.openxmlformats.org/officeDocument/2006/relationships/hyperlink" Target="https://www.diodes.com/datasheet/download/DMT10H009SCG.pdf" TargetMode="External"/><Relationship Id="rId_hyperlink_2730" Type="http://schemas.openxmlformats.org/officeDocument/2006/relationships/hyperlink" Target="https://www.diodes.com/part/view/DMT10H009SCG" TargetMode="External"/><Relationship Id="rId_hyperlink_2731" Type="http://schemas.openxmlformats.org/officeDocument/2006/relationships/hyperlink" Target="https://www.diodes.com/datasheet/download/DMT10H009SK3.pdf" TargetMode="External"/><Relationship Id="rId_hyperlink_2732" Type="http://schemas.openxmlformats.org/officeDocument/2006/relationships/hyperlink" Target="https://www.diodes.com/part/view/DMT10H009SK3" TargetMode="External"/><Relationship Id="rId_hyperlink_2733" Type="http://schemas.openxmlformats.org/officeDocument/2006/relationships/hyperlink" Target="https://www.diodes.com/datasheet/download/DMT10H009SPS.pdf" TargetMode="External"/><Relationship Id="rId_hyperlink_2734" Type="http://schemas.openxmlformats.org/officeDocument/2006/relationships/hyperlink" Target="https://www.diodes.com/part/view/DMT10H009SPS" TargetMode="External"/><Relationship Id="rId_hyperlink_2735" Type="http://schemas.openxmlformats.org/officeDocument/2006/relationships/hyperlink" Target="https://www.diodes.com/datasheet/download/DMT10H009SSS.pdf" TargetMode="External"/><Relationship Id="rId_hyperlink_2736" Type="http://schemas.openxmlformats.org/officeDocument/2006/relationships/hyperlink" Target="https://www.diodes.com/part/view/DMT10H009SSS" TargetMode="External"/><Relationship Id="rId_hyperlink_2737" Type="http://schemas.openxmlformats.org/officeDocument/2006/relationships/hyperlink" Target="https://www.diodes.com/datasheet/download/DMT10H010LCT.pdf" TargetMode="External"/><Relationship Id="rId_hyperlink_2738" Type="http://schemas.openxmlformats.org/officeDocument/2006/relationships/hyperlink" Target="https://www.diodes.com/part/view/DMT10H010LCT" TargetMode="External"/><Relationship Id="rId_hyperlink_2739" Type="http://schemas.openxmlformats.org/officeDocument/2006/relationships/hyperlink" Target="https://www.diodes.com/datasheet/download/DMT10H010LK3.pdf" TargetMode="External"/><Relationship Id="rId_hyperlink_2740" Type="http://schemas.openxmlformats.org/officeDocument/2006/relationships/hyperlink" Target="https://www.diodes.com/part/view/DMT10H010LK3" TargetMode="External"/><Relationship Id="rId_hyperlink_2741" Type="http://schemas.openxmlformats.org/officeDocument/2006/relationships/hyperlink" Target="https://www.diodes.com/datasheet/download/DMT10H010LPS.pdf" TargetMode="External"/><Relationship Id="rId_hyperlink_2742" Type="http://schemas.openxmlformats.org/officeDocument/2006/relationships/hyperlink" Target="https://www.diodes.com/part/view/DMT10H010LPS" TargetMode="External"/><Relationship Id="rId_hyperlink_2743" Type="http://schemas.openxmlformats.org/officeDocument/2006/relationships/hyperlink" Target="https://www.diodes.com/datasheet/download/DMT10H010LSS.pdf" TargetMode="External"/><Relationship Id="rId_hyperlink_2744" Type="http://schemas.openxmlformats.org/officeDocument/2006/relationships/hyperlink" Target="https://www.diodes.com/part/view/DMT10H010LSS" TargetMode="External"/><Relationship Id="rId_hyperlink_2745" Type="http://schemas.openxmlformats.org/officeDocument/2006/relationships/hyperlink" Target="https://www.diodes.com/datasheet/download/DMT10H010LSSQ.pdf" TargetMode="External"/><Relationship Id="rId_hyperlink_2746" Type="http://schemas.openxmlformats.org/officeDocument/2006/relationships/hyperlink" Target="https://www.diodes.com/part/view/DMT10H010LSSQ" TargetMode="External"/><Relationship Id="rId_hyperlink_2747" Type="http://schemas.openxmlformats.org/officeDocument/2006/relationships/hyperlink" Target="https://www.diodes.com/datasheet/download/DMT10H010SPS.pdf" TargetMode="External"/><Relationship Id="rId_hyperlink_2748" Type="http://schemas.openxmlformats.org/officeDocument/2006/relationships/hyperlink" Target="https://www.diodes.com/part/view/DMT10H010SPS" TargetMode="External"/><Relationship Id="rId_hyperlink_2749" Type="http://schemas.openxmlformats.org/officeDocument/2006/relationships/hyperlink" Target="https://www.diodes.com/datasheet/download/DMT10H014LSS.pdf" TargetMode="External"/><Relationship Id="rId_hyperlink_2750" Type="http://schemas.openxmlformats.org/officeDocument/2006/relationships/hyperlink" Target="https://www.diodes.com/part/view/DMT10H014LSS" TargetMode="External"/><Relationship Id="rId_hyperlink_2751" Type="http://schemas.openxmlformats.org/officeDocument/2006/relationships/hyperlink" Target="https://www.diodes.com/datasheet/download/DMT10H015LCG.pdf" TargetMode="External"/><Relationship Id="rId_hyperlink_2752" Type="http://schemas.openxmlformats.org/officeDocument/2006/relationships/hyperlink" Target="https://www.diodes.com/part/view/DMT10H015LCG" TargetMode="External"/><Relationship Id="rId_hyperlink_2753" Type="http://schemas.openxmlformats.org/officeDocument/2006/relationships/hyperlink" Target="https://www.diodes.com/datasheet/download/DMT10H015LFG.pdf" TargetMode="External"/><Relationship Id="rId_hyperlink_2754" Type="http://schemas.openxmlformats.org/officeDocument/2006/relationships/hyperlink" Target="https://www.diodes.com/part/view/DMT10H015LFG" TargetMode="External"/><Relationship Id="rId_hyperlink_2755" Type="http://schemas.openxmlformats.org/officeDocument/2006/relationships/hyperlink" Target="https://www.diodes.com/datasheet/download/DMT10H015LK3.pdf" TargetMode="External"/><Relationship Id="rId_hyperlink_2756" Type="http://schemas.openxmlformats.org/officeDocument/2006/relationships/hyperlink" Target="https://www.diodes.com/part/view/DMT10H015LK3" TargetMode="External"/><Relationship Id="rId_hyperlink_2757" Type="http://schemas.openxmlformats.org/officeDocument/2006/relationships/hyperlink" Target="https://www.diodes.com/datasheet/download/DMT10H015LPS.pdf" TargetMode="External"/><Relationship Id="rId_hyperlink_2758" Type="http://schemas.openxmlformats.org/officeDocument/2006/relationships/hyperlink" Target="https://www.diodes.com/part/view/DMT10H015LPS" TargetMode="External"/><Relationship Id="rId_hyperlink_2759" Type="http://schemas.openxmlformats.org/officeDocument/2006/relationships/hyperlink" Target="https://www.diodes.com/datasheet/download/DMT10H015LSS.pdf" TargetMode="External"/><Relationship Id="rId_hyperlink_2760" Type="http://schemas.openxmlformats.org/officeDocument/2006/relationships/hyperlink" Target="https://www.diodes.com/part/view/DMT10H015LSS" TargetMode="External"/><Relationship Id="rId_hyperlink_2761" Type="http://schemas.openxmlformats.org/officeDocument/2006/relationships/hyperlink" Target="https://www.diodes.com/datasheet/download/DMT10H015SK3.pdf" TargetMode="External"/><Relationship Id="rId_hyperlink_2762" Type="http://schemas.openxmlformats.org/officeDocument/2006/relationships/hyperlink" Target="https://www.diodes.com/part/view/DMT10H015SK3" TargetMode="External"/><Relationship Id="rId_hyperlink_2763" Type="http://schemas.openxmlformats.org/officeDocument/2006/relationships/hyperlink" Target="https://www.diodes.com/datasheet/download/DMT10H015SPS.pdf" TargetMode="External"/><Relationship Id="rId_hyperlink_2764" Type="http://schemas.openxmlformats.org/officeDocument/2006/relationships/hyperlink" Target="https://www.diodes.com/part/view/DMT10H015SPS" TargetMode="External"/><Relationship Id="rId_hyperlink_2765" Type="http://schemas.openxmlformats.org/officeDocument/2006/relationships/hyperlink" Target="https://www.diodes.com/datasheet/download/DMT10H017LPD.pdf" TargetMode="External"/><Relationship Id="rId_hyperlink_2766" Type="http://schemas.openxmlformats.org/officeDocument/2006/relationships/hyperlink" Target="https://www.diodes.com/part/view/DMT10H017LPD" TargetMode="External"/><Relationship Id="rId_hyperlink_2767" Type="http://schemas.openxmlformats.org/officeDocument/2006/relationships/hyperlink" Target="https://www.diodes.com/datasheet/download/DMT10H025LK3.pdf" TargetMode="External"/><Relationship Id="rId_hyperlink_2768" Type="http://schemas.openxmlformats.org/officeDocument/2006/relationships/hyperlink" Target="https://www.diodes.com/part/view/DMT10H025LK3" TargetMode="External"/><Relationship Id="rId_hyperlink_2769" Type="http://schemas.openxmlformats.org/officeDocument/2006/relationships/hyperlink" Target="https://www.diodes.com/datasheet/download/DMT10H025LSS.pdf" TargetMode="External"/><Relationship Id="rId_hyperlink_2770" Type="http://schemas.openxmlformats.org/officeDocument/2006/relationships/hyperlink" Target="https://www.diodes.com/part/view/DMT10H025LSS" TargetMode="External"/><Relationship Id="rId_hyperlink_2771" Type="http://schemas.openxmlformats.org/officeDocument/2006/relationships/hyperlink" Target="https://www.diodes.com/datasheet/download/DMT10H025SK3+.pdf" TargetMode="External"/><Relationship Id="rId_hyperlink_2772" Type="http://schemas.openxmlformats.org/officeDocument/2006/relationships/hyperlink" Target="https://www.diodes.com/part/view/DMT10H025SK3" TargetMode="External"/><Relationship Id="rId_hyperlink_2773" Type="http://schemas.openxmlformats.org/officeDocument/2006/relationships/hyperlink" Target="https://www.diodes.com/datasheet/download/DMT10H025SSS.pdf" TargetMode="External"/><Relationship Id="rId_hyperlink_2774" Type="http://schemas.openxmlformats.org/officeDocument/2006/relationships/hyperlink" Target="https://www.diodes.com/part/view/DMT10H025SSS" TargetMode="External"/><Relationship Id="rId_hyperlink_2775" Type="http://schemas.openxmlformats.org/officeDocument/2006/relationships/hyperlink" Target="https://www.diodes.com/datasheet/download/DMT10H032LDV.pdf" TargetMode="External"/><Relationship Id="rId_hyperlink_2776" Type="http://schemas.openxmlformats.org/officeDocument/2006/relationships/hyperlink" Target="https://www.diodes.com/part/view/DMT10H032LDV" TargetMode="External"/><Relationship Id="rId_hyperlink_2777" Type="http://schemas.openxmlformats.org/officeDocument/2006/relationships/hyperlink" Target="https://www.diodes.com/datasheet/download/DMT10H032LDVW.pdf" TargetMode="External"/><Relationship Id="rId_hyperlink_2778" Type="http://schemas.openxmlformats.org/officeDocument/2006/relationships/hyperlink" Target="https://www.diodes.com/part/view/DMT10H032LDVW" TargetMode="External"/><Relationship Id="rId_hyperlink_2779" Type="http://schemas.openxmlformats.org/officeDocument/2006/relationships/hyperlink" Target="https://www.diodes.com/datasheet/download/DMT10H032LDVWQ.pdf" TargetMode="External"/><Relationship Id="rId_hyperlink_2780" Type="http://schemas.openxmlformats.org/officeDocument/2006/relationships/hyperlink" Target="https://www.diodes.com/part/view/DMT10H032LDVWQ" TargetMode="External"/><Relationship Id="rId_hyperlink_2781" Type="http://schemas.openxmlformats.org/officeDocument/2006/relationships/hyperlink" Target="https://www.diodes.com/datasheet/download/DMT10H032LFDF.pdf" TargetMode="External"/><Relationship Id="rId_hyperlink_2782" Type="http://schemas.openxmlformats.org/officeDocument/2006/relationships/hyperlink" Target="https://www.diodes.com/part/view/DMT10H032LFDF" TargetMode="External"/><Relationship Id="rId_hyperlink_2783" Type="http://schemas.openxmlformats.org/officeDocument/2006/relationships/hyperlink" Target="https://www.diodes.com/datasheet/download/DMT10H032LFVW.pdf" TargetMode="External"/><Relationship Id="rId_hyperlink_2784" Type="http://schemas.openxmlformats.org/officeDocument/2006/relationships/hyperlink" Target="https://www.diodes.com/part/view/DMT10H032LFVW" TargetMode="External"/><Relationship Id="rId_hyperlink_2785" Type="http://schemas.openxmlformats.org/officeDocument/2006/relationships/hyperlink" Target="https://www.diodes.com/datasheet/download/DMT10H032LK3.pdf" TargetMode="External"/><Relationship Id="rId_hyperlink_2786" Type="http://schemas.openxmlformats.org/officeDocument/2006/relationships/hyperlink" Target="https://www.diodes.com/part/view/DMT10H032LK3" TargetMode="External"/><Relationship Id="rId_hyperlink_2787" Type="http://schemas.openxmlformats.org/officeDocument/2006/relationships/hyperlink" Target="https://www.diodes.com/datasheet/download/DMT10H032LSS.pdf" TargetMode="External"/><Relationship Id="rId_hyperlink_2788" Type="http://schemas.openxmlformats.org/officeDocument/2006/relationships/hyperlink" Target="https://www.diodes.com/part/view/DMT10H032LSS" TargetMode="External"/><Relationship Id="rId_hyperlink_2789" Type="http://schemas.openxmlformats.org/officeDocument/2006/relationships/hyperlink" Target="https://www.diodes.com/datasheet/download/DMT10H032SDVW.pdf" TargetMode="External"/><Relationship Id="rId_hyperlink_2790" Type="http://schemas.openxmlformats.org/officeDocument/2006/relationships/hyperlink" Target="https://www.diodes.com/part/view/DMT10H032SDVW" TargetMode="External"/><Relationship Id="rId_hyperlink_2791" Type="http://schemas.openxmlformats.org/officeDocument/2006/relationships/hyperlink" Target="https://www.diodes.com/datasheet/download/DMT10H032SDVWQ.pdf" TargetMode="External"/><Relationship Id="rId_hyperlink_2792" Type="http://schemas.openxmlformats.org/officeDocument/2006/relationships/hyperlink" Target="https://www.diodes.com/part/view/DMT10H032SDVWQ" TargetMode="External"/><Relationship Id="rId_hyperlink_2793" Type="http://schemas.openxmlformats.org/officeDocument/2006/relationships/hyperlink" Target="https://www.diodes.com/datasheet/download/DMT10H032SFVW.pdf" TargetMode="External"/><Relationship Id="rId_hyperlink_2794" Type="http://schemas.openxmlformats.org/officeDocument/2006/relationships/hyperlink" Target="https://www.diodes.com/part/view/DMT10H032SFVW" TargetMode="External"/><Relationship Id="rId_hyperlink_2795" Type="http://schemas.openxmlformats.org/officeDocument/2006/relationships/hyperlink" Target="https://www.diodes.com/datasheet/download/DMT10H052LFDF.pdf" TargetMode="External"/><Relationship Id="rId_hyperlink_2796" Type="http://schemas.openxmlformats.org/officeDocument/2006/relationships/hyperlink" Target="https://www.diodes.com/part/view/DMT10H052LFDF" TargetMode="External"/><Relationship Id="rId_hyperlink_2797" Type="http://schemas.openxmlformats.org/officeDocument/2006/relationships/hyperlink" Target="https://www.diodes.com/datasheet/download/DMT10H072LDV.pdf" TargetMode="External"/><Relationship Id="rId_hyperlink_2798" Type="http://schemas.openxmlformats.org/officeDocument/2006/relationships/hyperlink" Target="https://www.diodes.com/part/view/DMT10H072LDV" TargetMode="External"/><Relationship Id="rId_hyperlink_2799" Type="http://schemas.openxmlformats.org/officeDocument/2006/relationships/hyperlink" Target="https://www.diodes.com/datasheet/download/DMT10H072LFDF.pdf" TargetMode="External"/><Relationship Id="rId_hyperlink_2800" Type="http://schemas.openxmlformats.org/officeDocument/2006/relationships/hyperlink" Target="https://www.diodes.com/part/view/DMT10H072LFDF" TargetMode="External"/><Relationship Id="rId_hyperlink_2801" Type="http://schemas.openxmlformats.org/officeDocument/2006/relationships/hyperlink" Target="https://www.diodes.com/datasheet/download/DMT10H072LFDFQ.pdf" TargetMode="External"/><Relationship Id="rId_hyperlink_2802" Type="http://schemas.openxmlformats.org/officeDocument/2006/relationships/hyperlink" Target="https://www.diodes.com/part/view/DMT10H072LFDFQ" TargetMode="External"/><Relationship Id="rId_hyperlink_2803" Type="http://schemas.openxmlformats.org/officeDocument/2006/relationships/hyperlink" Target="https://www.diodes.com/datasheet/download/DMT10H072LFV.pdf" TargetMode="External"/><Relationship Id="rId_hyperlink_2804" Type="http://schemas.openxmlformats.org/officeDocument/2006/relationships/hyperlink" Target="https://www.diodes.com/part/view/DMT10H072LFV" TargetMode="External"/><Relationship Id="rId_hyperlink_2805" Type="http://schemas.openxmlformats.org/officeDocument/2006/relationships/hyperlink" Target="https://www.diodes.com/datasheet/download/DMT10H075LE.pdf" TargetMode="External"/><Relationship Id="rId_hyperlink_2806" Type="http://schemas.openxmlformats.org/officeDocument/2006/relationships/hyperlink" Target="https://www.diodes.com/part/view/DMT10H075LE" TargetMode="External"/><Relationship Id="rId_hyperlink_2807" Type="http://schemas.openxmlformats.org/officeDocument/2006/relationships/hyperlink" Target="https://www.diodes.com/datasheet/download/DMT10H4M5LPS.pdf" TargetMode="External"/><Relationship Id="rId_hyperlink_2808" Type="http://schemas.openxmlformats.org/officeDocument/2006/relationships/hyperlink" Target="https://www.diodes.com/part/view/DMT10H4M5LPS" TargetMode="External"/><Relationship Id="rId_hyperlink_2809" Type="http://schemas.openxmlformats.org/officeDocument/2006/relationships/hyperlink" Target="https://www.diodes.com/datasheet/download/DMT10H9M9LCT.pdf" TargetMode="External"/><Relationship Id="rId_hyperlink_2810" Type="http://schemas.openxmlformats.org/officeDocument/2006/relationships/hyperlink" Target="https://www.diodes.com/part/view/DMT10H9M9LCT" TargetMode="External"/><Relationship Id="rId_hyperlink_2811" Type="http://schemas.openxmlformats.org/officeDocument/2006/relationships/hyperlink" Target="https://www.diodes.com/datasheet/download/DMT10H9M9SCT.pdf" TargetMode="External"/><Relationship Id="rId_hyperlink_2812" Type="http://schemas.openxmlformats.org/officeDocument/2006/relationships/hyperlink" Target="https://www.diodes.com/part/view/DMT10H9M9SCT" TargetMode="External"/><Relationship Id="rId_hyperlink_2813" Type="http://schemas.openxmlformats.org/officeDocument/2006/relationships/hyperlink" Target="https://www.diodes.com/datasheet/download/DMT10H9M9SH3.pdf" TargetMode="External"/><Relationship Id="rId_hyperlink_2814" Type="http://schemas.openxmlformats.org/officeDocument/2006/relationships/hyperlink" Target="https://www.diodes.com/part/view/DMT10H9M9SH3" TargetMode="External"/><Relationship Id="rId_hyperlink_2815" Type="http://schemas.openxmlformats.org/officeDocument/2006/relationships/hyperlink" Target="https://www.diodes.com/datasheet/download/DMT12H007LPS.pdf" TargetMode="External"/><Relationship Id="rId_hyperlink_2816" Type="http://schemas.openxmlformats.org/officeDocument/2006/relationships/hyperlink" Target="https://www.diodes.com/part/view/DMT12H007LPS" TargetMode="External"/><Relationship Id="rId_hyperlink_2817" Type="http://schemas.openxmlformats.org/officeDocument/2006/relationships/hyperlink" Target="https://www.diodes.com/datasheet/download/DMT12H007SPS.pdf" TargetMode="External"/><Relationship Id="rId_hyperlink_2818" Type="http://schemas.openxmlformats.org/officeDocument/2006/relationships/hyperlink" Target="https://www.diodes.com/part/view/DMT12H007SPS" TargetMode="External"/><Relationship Id="rId_hyperlink_2819" Type="http://schemas.openxmlformats.org/officeDocument/2006/relationships/hyperlink" Target="https://www.diodes.com/datasheet/download/DMT12H060LCA9.pdf" TargetMode="External"/><Relationship Id="rId_hyperlink_2820" Type="http://schemas.openxmlformats.org/officeDocument/2006/relationships/hyperlink" Target="https://www.diodes.com/part/view/DMT12H060LCA9" TargetMode="External"/><Relationship Id="rId_hyperlink_2821" Type="http://schemas.openxmlformats.org/officeDocument/2006/relationships/hyperlink" Target="https://www.diodes.com/datasheet/download/DMT12H060LFDF.pdf" TargetMode="External"/><Relationship Id="rId_hyperlink_2822" Type="http://schemas.openxmlformats.org/officeDocument/2006/relationships/hyperlink" Target="https://www.diodes.com/part/view/DMT12H060LFDF" TargetMode="External"/><Relationship Id="rId_hyperlink_2823" Type="http://schemas.openxmlformats.org/officeDocument/2006/relationships/hyperlink" Target="https://www.diodes.com/datasheet/download/DMT12H065LFDF.pdf" TargetMode="External"/><Relationship Id="rId_hyperlink_2824" Type="http://schemas.openxmlformats.org/officeDocument/2006/relationships/hyperlink" Target="https://www.diodes.com/part/view/DMT12H065LFDF" TargetMode="External"/><Relationship Id="rId_hyperlink_2825" Type="http://schemas.openxmlformats.org/officeDocument/2006/relationships/hyperlink" Target="https://www.diodes.com/datasheet/download/DMT12H090LFDF4.pdf" TargetMode="External"/><Relationship Id="rId_hyperlink_2826" Type="http://schemas.openxmlformats.org/officeDocument/2006/relationships/hyperlink" Target="https://www.diodes.com/part/view/DMT12H090LFDF4" TargetMode="External"/><Relationship Id="rId_hyperlink_2827" Type="http://schemas.openxmlformats.org/officeDocument/2006/relationships/hyperlink" Target="https://www.diodes.com/datasheet/download/DMT15H017LPS.pdf" TargetMode="External"/><Relationship Id="rId_hyperlink_2828" Type="http://schemas.openxmlformats.org/officeDocument/2006/relationships/hyperlink" Target="https://www.diodes.com/part/view/DMT15H017LPS" TargetMode="External"/><Relationship Id="rId_hyperlink_2829" Type="http://schemas.openxmlformats.org/officeDocument/2006/relationships/hyperlink" Target="https://www.diodes.com/datasheet/download/DMT15H017LPSW.pdf" TargetMode="External"/><Relationship Id="rId_hyperlink_2830" Type="http://schemas.openxmlformats.org/officeDocument/2006/relationships/hyperlink" Target="https://www.diodes.com/part/view/DMT15H017LPSW" TargetMode="External"/><Relationship Id="rId_hyperlink_2831" Type="http://schemas.openxmlformats.org/officeDocument/2006/relationships/hyperlink" Target="https://www.diodes.com/datasheet/download/DMT15H017SK3.pdf" TargetMode="External"/><Relationship Id="rId_hyperlink_2832" Type="http://schemas.openxmlformats.org/officeDocument/2006/relationships/hyperlink" Target="https://www.diodes.com/part/view/DMT15H017SK3" TargetMode="External"/><Relationship Id="rId_hyperlink_2833" Type="http://schemas.openxmlformats.org/officeDocument/2006/relationships/hyperlink" Target="https://www.diodes.com/datasheet/download/DMT15H035SCT.pdf" TargetMode="External"/><Relationship Id="rId_hyperlink_2834" Type="http://schemas.openxmlformats.org/officeDocument/2006/relationships/hyperlink" Target="https://www.diodes.com/part/view/DMT15H035SCT" TargetMode="External"/><Relationship Id="rId_hyperlink_2835" Type="http://schemas.openxmlformats.org/officeDocument/2006/relationships/hyperlink" Target="https://www.diodes.com/datasheet/download/DMT15H053SK3.pdf" TargetMode="External"/><Relationship Id="rId_hyperlink_2836" Type="http://schemas.openxmlformats.org/officeDocument/2006/relationships/hyperlink" Target="https://www.diodes.com/part/view/DMT15H053SK3" TargetMode="External"/><Relationship Id="rId_hyperlink_2837" Type="http://schemas.openxmlformats.org/officeDocument/2006/relationships/hyperlink" Target="https://www.diodes.com/datasheet/download/DMT15H053SPSW.pdf" TargetMode="External"/><Relationship Id="rId_hyperlink_2838" Type="http://schemas.openxmlformats.org/officeDocument/2006/relationships/hyperlink" Target="https://www.diodes.com/part/view/DMT15H053SPSW" TargetMode="External"/><Relationship Id="rId_hyperlink_2839" Type="http://schemas.openxmlformats.org/officeDocument/2006/relationships/hyperlink" Target="https://www.diodes.com/datasheet/download/DMT15H053SPSWQ.pdf" TargetMode="External"/><Relationship Id="rId_hyperlink_2840" Type="http://schemas.openxmlformats.org/officeDocument/2006/relationships/hyperlink" Target="https://www.diodes.com/part/view/DMT15H053SPSWQ" TargetMode="External"/><Relationship Id="rId_hyperlink_2841" Type="http://schemas.openxmlformats.org/officeDocument/2006/relationships/hyperlink" Target="https://www.diodes.com/datasheet/download/DMT15H053SSS.pdf" TargetMode="External"/><Relationship Id="rId_hyperlink_2842" Type="http://schemas.openxmlformats.org/officeDocument/2006/relationships/hyperlink" Target="https://www.diodes.com/part/view/DMT15H053SSS" TargetMode="External"/><Relationship Id="rId_hyperlink_2843" Type="http://schemas.openxmlformats.org/officeDocument/2006/relationships/hyperlink" Target="https://www.diodes.com/datasheet/download/DMT15H067SSS.pdf" TargetMode="External"/><Relationship Id="rId_hyperlink_2844" Type="http://schemas.openxmlformats.org/officeDocument/2006/relationships/hyperlink" Target="https://www.diodes.com/part/view/DMT15H067SSS" TargetMode="External"/><Relationship Id="rId_hyperlink_2845" Type="http://schemas.openxmlformats.org/officeDocument/2006/relationships/hyperlink" Target="https://www.diodes.com/datasheet/download/DMT2004UFDF.pdf" TargetMode="External"/><Relationship Id="rId_hyperlink_2846" Type="http://schemas.openxmlformats.org/officeDocument/2006/relationships/hyperlink" Target="https://www.diodes.com/part/view/DMT2004UFDF" TargetMode="External"/><Relationship Id="rId_hyperlink_2847" Type="http://schemas.openxmlformats.org/officeDocument/2006/relationships/hyperlink" Target="https://www.diodes.com/datasheet/download/DMT2004UFG.pdf" TargetMode="External"/><Relationship Id="rId_hyperlink_2848" Type="http://schemas.openxmlformats.org/officeDocument/2006/relationships/hyperlink" Target="https://www.diodes.com/part/view/DMT2004UFG" TargetMode="External"/><Relationship Id="rId_hyperlink_2849" Type="http://schemas.openxmlformats.org/officeDocument/2006/relationships/hyperlink" Target="https://www.diodes.com/datasheet/download/DMT2004UFV.pdf" TargetMode="External"/><Relationship Id="rId_hyperlink_2850" Type="http://schemas.openxmlformats.org/officeDocument/2006/relationships/hyperlink" Target="https://www.diodes.com/part/view/DMT2004UFV" TargetMode="External"/><Relationship Id="rId_hyperlink_2851" Type="http://schemas.openxmlformats.org/officeDocument/2006/relationships/hyperlink" Target="https://www.diodes.com/datasheet/download/DMT2004UPS.pdf" TargetMode="External"/><Relationship Id="rId_hyperlink_2852" Type="http://schemas.openxmlformats.org/officeDocument/2006/relationships/hyperlink" Target="https://www.diodes.com/part/view/DMT2004UPS" TargetMode="External"/><Relationship Id="rId_hyperlink_2853" Type="http://schemas.openxmlformats.org/officeDocument/2006/relationships/hyperlink" Target="https://www.diodes.com/datasheet/download/DMT2005UDV.pdf" TargetMode="External"/><Relationship Id="rId_hyperlink_2854" Type="http://schemas.openxmlformats.org/officeDocument/2006/relationships/hyperlink" Target="https://www.diodes.com/part/view/DMT2005UDV" TargetMode="External"/><Relationship Id="rId_hyperlink_2855" Type="http://schemas.openxmlformats.org/officeDocument/2006/relationships/hyperlink" Target="https://www.diodes.com/datasheet/download/DMT26M0LDG.pdf" TargetMode="External"/><Relationship Id="rId_hyperlink_2856" Type="http://schemas.openxmlformats.org/officeDocument/2006/relationships/hyperlink" Target="https://www.diodes.com/part/view/DMT26M0LDG" TargetMode="External"/><Relationship Id="rId_hyperlink_2857" Type="http://schemas.openxmlformats.org/officeDocument/2006/relationships/hyperlink" Target="https://www.diodes.com/datasheet/download/DMT3002LPS.pdf" TargetMode="External"/><Relationship Id="rId_hyperlink_2858" Type="http://schemas.openxmlformats.org/officeDocument/2006/relationships/hyperlink" Target="https://www.diodes.com/part/view/DMT3002LPS" TargetMode="External"/><Relationship Id="rId_hyperlink_2859" Type="http://schemas.openxmlformats.org/officeDocument/2006/relationships/hyperlink" Target="https://www.diodes.com/datasheet/download/DMT3003LFG.pdf" TargetMode="External"/><Relationship Id="rId_hyperlink_2860" Type="http://schemas.openxmlformats.org/officeDocument/2006/relationships/hyperlink" Target="https://www.diodes.com/part/view/DMT3003LFG" TargetMode="External"/><Relationship Id="rId_hyperlink_2861" Type="http://schemas.openxmlformats.org/officeDocument/2006/relationships/hyperlink" Target="https://www.diodes.com/datasheet/download/DMT3003LFGQ.pdf" TargetMode="External"/><Relationship Id="rId_hyperlink_2862" Type="http://schemas.openxmlformats.org/officeDocument/2006/relationships/hyperlink" Target="https://www.diodes.com/part/view/DMT3003LFGQ" TargetMode="External"/><Relationship Id="rId_hyperlink_2863" Type="http://schemas.openxmlformats.org/officeDocument/2006/relationships/hyperlink" Target="https://www.diodes.com/datasheet/download/DMT3004LFG.pdf" TargetMode="External"/><Relationship Id="rId_hyperlink_2864" Type="http://schemas.openxmlformats.org/officeDocument/2006/relationships/hyperlink" Target="https://www.diodes.com/part/view/DMT3004LFG" TargetMode="External"/><Relationship Id="rId_hyperlink_2865" Type="http://schemas.openxmlformats.org/officeDocument/2006/relationships/hyperlink" Target="https://www.diodes.com/datasheet/download/DMT3004LPS.pdf" TargetMode="External"/><Relationship Id="rId_hyperlink_2866" Type="http://schemas.openxmlformats.org/officeDocument/2006/relationships/hyperlink" Target="https://www.diodes.com/part/view/DMT3004LPS" TargetMode="External"/><Relationship Id="rId_hyperlink_2867" Type="http://schemas.openxmlformats.org/officeDocument/2006/relationships/hyperlink" Target="https://www.diodes.com/datasheet/download/DMT3006LDK.pdf" TargetMode="External"/><Relationship Id="rId_hyperlink_2868" Type="http://schemas.openxmlformats.org/officeDocument/2006/relationships/hyperlink" Target="https://www.diodes.com/part/view/DMT3006LDK" TargetMode="External"/><Relationship Id="rId_hyperlink_2869" Type="http://schemas.openxmlformats.org/officeDocument/2006/relationships/hyperlink" Target="https://www.diodes.com/datasheet/download/DMT3006LDV.pdf" TargetMode="External"/><Relationship Id="rId_hyperlink_2870" Type="http://schemas.openxmlformats.org/officeDocument/2006/relationships/hyperlink" Target="https://www.diodes.com/part/view/DMT3006LDV" TargetMode="External"/><Relationship Id="rId_hyperlink_2871" Type="http://schemas.openxmlformats.org/officeDocument/2006/relationships/hyperlink" Target="https://www.diodes.com/datasheet/download/DMT3006LFDF.pdf" TargetMode="External"/><Relationship Id="rId_hyperlink_2872" Type="http://schemas.openxmlformats.org/officeDocument/2006/relationships/hyperlink" Target="https://www.diodes.com/part/view/DMT3006LFDF" TargetMode="External"/><Relationship Id="rId_hyperlink_2873" Type="http://schemas.openxmlformats.org/officeDocument/2006/relationships/hyperlink" Target="https://www.diodes.com/datasheet/download/DMT3006LFDFQ.pdf" TargetMode="External"/><Relationship Id="rId_hyperlink_2874" Type="http://schemas.openxmlformats.org/officeDocument/2006/relationships/hyperlink" Target="https://www.diodes.com/part/view/DMT3006LFDFQ" TargetMode="External"/><Relationship Id="rId_hyperlink_2875" Type="http://schemas.openxmlformats.org/officeDocument/2006/relationships/hyperlink" Target="https://www.diodes.com/datasheet/download/DMT3006LFG.pdf" TargetMode="External"/><Relationship Id="rId_hyperlink_2876" Type="http://schemas.openxmlformats.org/officeDocument/2006/relationships/hyperlink" Target="https://www.diodes.com/part/view/DMT3006LFG" TargetMode="External"/><Relationship Id="rId_hyperlink_2877" Type="http://schemas.openxmlformats.org/officeDocument/2006/relationships/hyperlink" Target="https://www.diodes.com/datasheet/download/DMT3006LFV.pdf" TargetMode="External"/><Relationship Id="rId_hyperlink_2878" Type="http://schemas.openxmlformats.org/officeDocument/2006/relationships/hyperlink" Target="https://www.diodes.com/part/view/DMT3006LFV" TargetMode="External"/><Relationship Id="rId_hyperlink_2879" Type="http://schemas.openxmlformats.org/officeDocument/2006/relationships/hyperlink" Target="https://www.diodes.com/datasheet/download/DMT3006LFVQ.pdf" TargetMode="External"/><Relationship Id="rId_hyperlink_2880" Type="http://schemas.openxmlformats.org/officeDocument/2006/relationships/hyperlink" Target="https://www.diodes.com/part/view/DMT3006LFVQ" TargetMode="External"/><Relationship Id="rId_hyperlink_2881" Type="http://schemas.openxmlformats.org/officeDocument/2006/relationships/hyperlink" Target="https://www.diodes.com/datasheet/download/DMT3006LPB.pdf" TargetMode="External"/><Relationship Id="rId_hyperlink_2882" Type="http://schemas.openxmlformats.org/officeDocument/2006/relationships/hyperlink" Target="https://www.diodes.com/part/view/DMT3006LPB" TargetMode="External"/><Relationship Id="rId_hyperlink_2883" Type="http://schemas.openxmlformats.org/officeDocument/2006/relationships/hyperlink" Target="https://www.diodes.com/datasheet/download/DMT3006LPS.pdf" TargetMode="External"/><Relationship Id="rId_hyperlink_2884" Type="http://schemas.openxmlformats.org/officeDocument/2006/relationships/hyperlink" Target="https://www.diodes.com/part/view/DMT3006LPS" TargetMode="External"/><Relationship Id="rId_hyperlink_2885" Type="http://schemas.openxmlformats.org/officeDocument/2006/relationships/hyperlink" Target="https://www.diodes.com/datasheet/download/DMT3008LFDF.pdf" TargetMode="External"/><Relationship Id="rId_hyperlink_2886" Type="http://schemas.openxmlformats.org/officeDocument/2006/relationships/hyperlink" Target="https://www.diodes.com/part/view/DMT3008LFDF" TargetMode="External"/><Relationship Id="rId_hyperlink_2887" Type="http://schemas.openxmlformats.org/officeDocument/2006/relationships/hyperlink" Target="https://www.diodes.com/datasheet/download/DMT3009LDT.pdf" TargetMode="External"/><Relationship Id="rId_hyperlink_2888" Type="http://schemas.openxmlformats.org/officeDocument/2006/relationships/hyperlink" Target="https://www.diodes.com/part/view/DMT3009LDT" TargetMode="External"/><Relationship Id="rId_hyperlink_2889" Type="http://schemas.openxmlformats.org/officeDocument/2006/relationships/hyperlink" Target="https://www.diodes.com/datasheet/download/DMT3009LDV.pdf" TargetMode="External"/><Relationship Id="rId_hyperlink_2890" Type="http://schemas.openxmlformats.org/officeDocument/2006/relationships/hyperlink" Target="https://www.diodes.com/part/view/DMT3009LDV" TargetMode="External"/><Relationship Id="rId_hyperlink_2891" Type="http://schemas.openxmlformats.org/officeDocument/2006/relationships/hyperlink" Target="https://www.diodes.com/datasheet/download/DMT3009LEV.pdf" TargetMode="External"/><Relationship Id="rId_hyperlink_2892" Type="http://schemas.openxmlformats.org/officeDocument/2006/relationships/hyperlink" Target="https://www.diodes.com/part/view/DMT3009LEV" TargetMode="External"/><Relationship Id="rId_hyperlink_2893" Type="http://schemas.openxmlformats.org/officeDocument/2006/relationships/hyperlink" Target="https://www.diodes.com/datasheet/download/DMT3009LFVW.pdf" TargetMode="External"/><Relationship Id="rId_hyperlink_2894" Type="http://schemas.openxmlformats.org/officeDocument/2006/relationships/hyperlink" Target="https://www.diodes.com/part/view/DMT3009LFVW" TargetMode="External"/><Relationship Id="rId_hyperlink_2895" Type="http://schemas.openxmlformats.org/officeDocument/2006/relationships/hyperlink" Target="https://www.diodes.com/datasheet/download/DMT3009LFVWQ.pdf" TargetMode="External"/><Relationship Id="rId_hyperlink_2896" Type="http://schemas.openxmlformats.org/officeDocument/2006/relationships/hyperlink" Target="https://www.diodes.com/part/view/DMT3009LFVWQ" TargetMode="External"/><Relationship Id="rId_hyperlink_2897" Type="http://schemas.openxmlformats.org/officeDocument/2006/relationships/hyperlink" Target="https://www.diodes.com/datasheet/download/DMT3009UDT.pdf" TargetMode="External"/><Relationship Id="rId_hyperlink_2898" Type="http://schemas.openxmlformats.org/officeDocument/2006/relationships/hyperlink" Target="https://www.diodes.com/part/view/DMT3009UDT" TargetMode="External"/><Relationship Id="rId_hyperlink_2899" Type="http://schemas.openxmlformats.org/officeDocument/2006/relationships/hyperlink" Target="https://www.diodes.com/datasheet/download/DMT3009UFVW.pdf" TargetMode="External"/><Relationship Id="rId_hyperlink_2900" Type="http://schemas.openxmlformats.org/officeDocument/2006/relationships/hyperlink" Target="https://www.diodes.com/part/view/DMT3009UFVW" TargetMode="External"/><Relationship Id="rId_hyperlink_2901" Type="http://schemas.openxmlformats.org/officeDocument/2006/relationships/hyperlink" Target="https://www.diodes.com/datasheet/download/DMT3011LDT.pdf" TargetMode="External"/><Relationship Id="rId_hyperlink_2902" Type="http://schemas.openxmlformats.org/officeDocument/2006/relationships/hyperlink" Target="https://www.diodes.com/part/view/DMT3011LDT" TargetMode="External"/><Relationship Id="rId_hyperlink_2903" Type="http://schemas.openxmlformats.org/officeDocument/2006/relationships/hyperlink" Target="https://www.diodes.com/datasheet/download/DMT3020LDT.pdf" TargetMode="External"/><Relationship Id="rId_hyperlink_2904" Type="http://schemas.openxmlformats.org/officeDocument/2006/relationships/hyperlink" Target="https://www.diodes.com/part/view/DMT3020LDT" TargetMode="External"/><Relationship Id="rId_hyperlink_2905" Type="http://schemas.openxmlformats.org/officeDocument/2006/relationships/hyperlink" Target="https://www.diodes.com/datasheet/download/DMT3020LDV.pdf" TargetMode="External"/><Relationship Id="rId_hyperlink_2906" Type="http://schemas.openxmlformats.org/officeDocument/2006/relationships/hyperlink" Target="https://www.diodes.com/part/view/DMT3020LDV" TargetMode="External"/><Relationship Id="rId_hyperlink_2907" Type="http://schemas.openxmlformats.org/officeDocument/2006/relationships/hyperlink" Target="https://www.diodes.com/datasheet/download/DMT3020LFCL.pdf" TargetMode="External"/><Relationship Id="rId_hyperlink_2908" Type="http://schemas.openxmlformats.org/officeDocument/2006/relationships/hyperlink" Target="https://www.diodes.com/part/view/DMT3020LFCL" TargetMode="External"/><Relationship Id="rId_hyperlink_2909" Type="http://schemas.openxmlformats.org/officeDocument/2006/relationships/hyperlink" Target="https://www.diodes.com/datasheet/download/DMT3020LFDB.pdf" TargetMode="External"/><Relationship Id="rId_hyperlink_2910" Type="http://schemas.openxmlformats.org/officeDocument/2006/relationships/hyperlink" Target="https://www.diodes.com/part/view/DMT3020LFDB" TargetMode="External"/><Relationship Id="rId_hyperlink_2911" Type="http://schemas.openxmlformats.org/officeDocument/2006/relationships/hyperlink" Target="https://www.diodes.com/datasheet/download/DMT3020LFDBQ.pdf" TargetMode="External"/><Relationship Id="rId_hyperlink_2912" Type="http://schemas.openxmlformats.org/officeDocument/2006/relationships/hyperlink" Target="https://www.diodes.com/part/view/DMT3020LFDBQ" TargetMode="External"/><Relationship Id="rId_hyperlink_2913" Type="http://schemas.openxmlformats.org/officeDocument/2006/relationships/hyperlink" Target="https://www.diodes.com/datasheet/download/DMT3020LFDF.pdf" TargetMode="External"/><Relationship Id="rId_hyperlink_2914" Type="http://schemas.openxmlformats.org/officeDocument/2006/relationships/hyperlink" Target="https://www.diodes.com/part/view/DMT3020LFDF" TargetMode="External"/><Relationship Id="rId_hyperlink_2915" Type="http://schemas.openxmlformats.org/officeDocument/2006/relationships/hyperlink" Target="https://www.diodes.com/datasheet/download/DMT3020LFDFQ.pdf" TargetMode="External"/><Relationship Id="rId_hyperlink_2916" Type="http://schemas.openxmlformats.org/officeDocument/2006/relationships/hyperlink" Target="https://www.diodes.com/part/view/DMT3020LFDFQ" TargetMode="External"/><Relationship Id="rId_hyperlink_2917" Type="http://schemas.openxmlformats.org/officeDocument/2006/relationships/hyperlink" Target="https://www.diodes.com/datasheet/download/DMT3020LFDFW.pdf" TargetMode="External"/><Relationship Id="rId_hyperlink_2918" Type="http://schemas.openxmlformats.org/officeDocument/2006/relationships/hyperlink" Target="https://www.diodes.com/part/view/DMT3020LFDFW" TargetMode="External"/><Relationship Id="rId_hyperlink_2919" Type="http://schemas.openxmlformats.org/officeDocument/2006/relationships/hyperlink" Target="https://www.diodes.com/datasheet/download/DMT3020LFDFWQ.pdf" TargetMode="External"/><Relationship Id="rId_hyperlink_2920" Type="http://schemas.openxmlformats.org/officeDocument/2006/relationships/hyperlink" Target="https://www.diodes.com/part/view/DMT3020LFDFWQ" TargetMode="External"/><Relationship Id="rId_hyperlink_2921" Type="http://schemas.openxmlformats.org/officeDocument/2006/relationships/hyperlink" Target="https://www.diodes.com/datasheet/download/DMT3020LFVW.pdf" TargetMode="External"/><Relationship Id="rId_hyperlink_2922" Type="http://schemas.openxmlformats.org/officeDocument/2006/relationships/hyperlink" Target="https://www.diodes.com/part/view/DMT3020LFVW" TargetMode="External"/><Relationship Id="rId_hyperlink_2923" Type="http://schemas.openxmlformats.org/officeDocument/2006/relationships/hyperlink" Target="https://www.diodes.com/datasheet/download/DMT3020LSD.pdf" TargetMode="External"/><Relationship Id="rId_hyperlink_2924" Type="http://schemas.openxmlformats.org/officeDocument/2006/relationships/hyperlink" Target="https://www.diodes.com/part/view/DMT3020LSD" TargetMode="External"/><Relationship Id="rId_hyperlink_2925" Type="http://schemas.openxmlformats.org/officeDocument/2006/relationships/hyperlink" Target="https://www.diodes.com/datasheet/download/DMT3020LSDQ.pdf" TargetMode="External"/><Relationship Id="rId_hyperlink_2926" Type="http://schemas.openxmlformats.org/officeDocument/2006/relationships/hyperlink" Target="https://www.diodes.com/part/view/DMT3020LSDQ" TargetMode="External"/><Relationship Id="rId_hyperlink_2927" Type="http://schemas.openxmlformats.org/officeDocument/2006/relationships/hyperlink" Target="https://www.diodes.com/datasheet/download/DMT3020UFDB.pdf" TargetMode="External"/><Relationship Id="rId_hyperlink_2928" Type="http://schemas.openxmlformats.org/officeDocument/2006/relationships/hyperlink" Target="https://www.diodes.com/part/view/DMT3020UFDB" TargetMode="External"/><Relationship Id="rId_hyperlink_2929" Type="http://schemas.openxmlformats.org/officeDocument/2006/relationships/hyperlink" Target="https://www.diodes.com/datasheet/download/DMT3022UEV.pdf" TargetMode="External"/><Relationship Id="rId_hyperlink_2930" Type="http://schemas.openxmlformats.org/officeDocument/2006/relationships/hyperlink" Target="https://www.diodes.com/part/view/DMT3022UEV" TargetMode="External"/><Relationship Id="rId_hyperlink_2931" Type="http://schemas.openxmlformats.org/officeDocument/2006/relationships/hyperlink" Target="https://www.diodes.com/datasheet/download/DMT30M9LPS.pdf" TargetMode="External"/><Relationship Id="rId_hyperlink_2932" Type="http://schemas.openxmlformats.org/officeDocument/2006/relationships/hyperlink" Target="https://www.diodes.com/part/view/DMT30M9LPS" TargetMode="External"/><Relationship Id="rId_hyperlink_2933" Type="http://schemas.openxmlformats.org/officeDocument/2006/relationships/hyperlink" Target="https://www.diodes.com/datasheet/download/DMT31M1LPSW.pdf" TargetMode="External"/><Relationship Id="rId_hyperlink_2934" Type="http://schemas.openxmlformats.org/officeDocument/2006/relationships/hyperlink" Target="https://www.diodes.com/part/view/DMT31M1LPSW" TargetMode="External"/><Relationship Id="rId_hyperlink_2935" Type="http://schemas.openxmlformats.org/officeDocument/2006/relationships/hyperlink" Target="https://www.diodes.com/datasheet/download/DMT31M1LPSWQ.pdf" TargetMode="External"/><Relationship Id="rId_hyperlink_2936" Type="http://schemas.openxmlformats.org/officeDocument/2006/relationships/hyperlink" Target="https://www.diodes.com/part/view/DMT31M1LPSWQ" TargetMode="External"/><Relationship Id="rId_hyperlink_2937" Type="http://schemas.openxmlformats.org/officeDocument/2006/relationships/hyperlink" Target="https://www.diodes.com/datasheet/download/DMT31M6LPS.pdf" TargetMode="External"/><Relationship Id="rId_hyperlink_2938" Type="http://schemas.openxmlformats.org/officeDocument/2006/relationships/hyperlink" Target="https://www.diodes.com/part/view/DMT31M6LPS" TargetMode="External"/><Relationship Id="rId_hyperlink_2939" Type="http://schemas.openxmlformats.org/officeDocument/2006/relationships/hyperlink" Target="https://www.diodes.com/datasheet/download/DMT31M7LPS.pdf" TargetMode="External"/><Relationship Id="rId_hyperlink_2940" Type="http://schemas.openxmlformats.org/officeDocument/2006/relationships/hyperlink" Target="https://www.diodes.com/part/view/DMT31M7LPS" TargetMode="External"/><Relationship Id="rId_hyperlink_2941" Type="http://schemas.openxmlformats.org/officeDocument/2006/relationships/hyperlink" Target="https://www.diodes.com/datasheet/download/DMT31M7LSS.pdf" TargetMode="External"/><Relationship Id="rId_hyperlink_2942" Type="http://schemas.openxmlformats.org/officeDocument/2006/relationships/hyperlink" Target="https://www.diodes.com/part/view/DMT31M7LSS" TargetMode="External"/><Relationship Id="rId_hyperlink_2943" Type="http://schemas.openxmlformats.org/officeDocument/2006/relationships/hyperlink" Target="https://www.diodes.com/datasheet/download/DMT31M8LFVW.pdf" TargetMode="External"/><Relationship Id="rId_hyperlink_2944" Type="http://schemas.openxmlformats.org/officeDocument/2006/relationships/hyperlink" Target="https://www.diodes.com/part/view/DMT31M8LFVW" TargetMode="External"/><Relationship Id="rId_hyperlink_2945" Type="http://schemas.openxmlformats.org/officeDocument/2006/relationships/hyperlink" Target="https://www.diodes.com/datasheet/download/DMT31M8LFVWQ.pdf" TargetMode="External"/><Relationship Id="rId_hyperlink_2946" Type="http://schemas.openxmlformats.org/officeDocument/2006/relationships/hyperlink" Target="https://www.diodes.com/part/view/DMT31M8LFVWQ" TargetMode="External"/><Relationship Id="rId_hyperlink_2947" Type="http://schemas.openxmlformats.org/officeDocument/2006/relationships/hyperlink" Target="https://www.diodes.com/datasheet/download/DMT31M9LFVW.pdf" TargetMode="External"/><Relationship Id="rId_hyperlink_2948" Type="http://schemas.openxmlformats.org/officeDocument/2006/relationships/hyperlink" Target="https://www.diodes.com/part/view/DMT31M9LFVW" TargetMode="External"/><Relationship Id="rId_hyperlink_2949" Type="http://schemas.openxmlformats.org/officeDocument/2006/relationships/hyperlink" Target="https://www.diodes.com/datasheet/download/DMT32M4LFG.pdf" TargetMode="External"/><Relationship Id="rId_hyperlink_2950" Type="http://schemas.openxmlformats.org/officeDocument/2006/relationships/hyperlink" Target="https://www.diodes.com/part/view/DMT32M4LFG" TargetMode="External"/><Relationship Id="rId_hyperlink_2951" Type="http://schemas.openxmlformats.org/officeDocument/2006/relationships/hyperlink" Target="https://www.diodes.com/datasheet/download/DMT32M4LPSW.pdf" TargetMode="External"/><Relationship Id="rId_hyperlink_2952" Type="http://schemas.openxmlformats.org/officeDocument/2006/relationships/hyperlink" Target="https://www.diodes.com/part/view/DMT32M4LPSW" TargetMode="External"/><Relationship Id="rId_hyperlink_2953" Type="http://schemas.openxmlformats.org/officeDocument/2006/relationships/hyperlink" Target="https://www.diodes.com/datasheet/download/DMT32M5LFG.pdf" TargetMode="External"/><Relationship Id="rId_hyperlink_2954" Type="http://schemas.openxmlformats.org/officeDocument/2006/relationships/hyperlink" Target="https://www.diodes.com/part/view/DMT32M5LFG" TargetMode="External"/><Relationship Id="rId_hyperlink_2955" Type="http://schemas.openxmlformats.org/officeDocument/2006/relationships/hyperlink" Target="https://www.diodes.com/datasheet/download/DMT32M5LPS.pdf" TargetMode="External"/><Relationship Id="rId_hyperlink_2956" Type="http://schemas.openxmlformats.org/officeDocument/2006/relationships/hyperlink" Target="https://www.diodes.com/part/view/DMT32M5LPS" TargetMode="External"/><Relationship Id="rId_hyperlink_2957" Type="http://schemas.openxmlformats.org/officeDocument/2006/relationships/hyperlink" Target="https://www.diodes.com/datasheet/download/DMT32M5LPSW.pdf" TargetMode="External"/><Relationship Id="rId_hyperlink_2958" Type="http://schemas.openxmlformats.org/officeDocument/2006/relationships/hyperlink" Target="https://www.diodes.com/part/view/DMT32M5LPSW" TargetMode="External"/><Relationship Id="rId_hyperlink_2959" Type="http://schemas.openxmlformats.org/officeDocument/2006/relationships/hyperlink" Target="https://www.diodes.com/datasheet/download/DMT32M6LDG.pdf" TargetMode="External"/><Relationship Id="rId_hyperlink_2960" Type="http://schemas.openxmlformats.org/officeDocument/2006/relationships/hyperlink" Target="https://www.diodes.com/part/view/DMT32M6LDG" TargetMode="External"/><Relationship Id="rId_hyperlink_2961" Type="http://schemas.openxmlformats.org/officeDocument/2006/relationships/hyperlink" Target="https://www.diodes.com/datasheet/download/DMT34M1LPS.pdf" TargetMode="External"/><Relationship Id="rId_hyperlink_2962" Type="http://schemas.openxmlformats.org/officeDocument/2006/relationships/hyperlink" Target="https://www.diodes.com/part/view/DMT34M1LPS" TargetMode="External"/><Relationship Id="rId_hyperlink_2963" Type="http://schemas.openxmlformats.org/officeDocument/2006/relationships/hyperlink" Target="https://www.diodes.com/datasheet/download/DMT34M8LFDE.pdf" TargetMode="External"/><Relationship Id="rId_hyperlink_2964" Type="http://schemas.openxmlformats.org/officeDocument/2006/relationships/hyperlink" Target="https://www.diodes.com/part/view/DMT34M8LFDE" TargetMode="External"/><Relationship Id="rId_hyperlink_2965" Type="http://schemas.openxmlformats.org/officeDocument/2006/relationships/hyperlink" Target="https://www.diodes.com/datasheet/download/DMT35M4LFDF.pdf" TargetMode="External"/><Relationship Id="rId_hyperlink_2966" Type="http://schemas.openxmlformats.org/officeDocument/2006/relationships/hyperlink" Target="https://www.diodes.com/part/view/DMT35M4LFDF" TargetMode="External"/><Relationship Id="rId_hyperlink_2967" Type="http://schemas.openxmlformats.org/officeDocument/2006/relationships/hyperlink" Target="https://www.diodes.com/datasheet/download/DMT35M4LFDF4.pdf" TargetMode="External"/><Relationship Id="rId_hyperlink_2968" Type="http://schemas.openxmlformats.org/officeDocument/2006/relationships/hyperlink" Target="https://www.diodes.com/part/view/DMT35M4LFDF4" TargetMode="External"/><Relationship Id="rId_hyperlink_2969" Type="http://schemas.openxmlformats.org/officeDocument/2006/relationships/hyperlink" Target="https://www.diodes.com/datasheet/download/DMT35M4LFVW.pdf" TargetMode="External"/><Relationship Id="rId_hyperlink_2970" Type="http://schemas.openxmlformats.org/officeDocument/2006/relationships/hyperlink" Target="https://www.diodes.com/part/view/DMT35M4LFVW" TargetMode="External"/><Relationship Id="rId_hyperlink_2971" Type="http://schemas.openxmlformats.org/officeDocument/2006/relationships/hyperlink" Target="https://www.diodes.com/datasheet/download/DMT35M4LPSW.pdf" TargetMode="External"/><Relationship Id="rId_hyperlink_2972" Type="http://schemas.openxmlformats.org/officeDocument/2006/relationships/hyperlink" Target="https://www.diodes.com/part/view/DMT35M4LPSW" TargetMode="External"/><Relationship Id="rId_hyperlink_2973" Type="http://schemas.openxmlformats.org/officeDocument/2006/relationships/hyperlink" Target="https://www.diodes.com/datasheet/download/DMT35M7LFV.pdf" TargetMode="External"/><Relationship Id="rId_hyperlink_2974" Type="http://schemas.openxmlformats.org/officeDocument/2006/relationships/hyperlink" Target="https://www.diodes.com/part/view/DMT35M7LFV" TargetMode="External"/><Relationship Id="rId_hyperlink_2975" Type="http://schemas.openxmlformats.org/officeDocument/2006/relationships/hyperlink" Target="https://www.diodes.com/datasheet/download/DMT35M8LDG.pdf" TargetMode="External"/><Relationship Id="rId_hyperlink_2976" Type="http://schemas.openxmlformats.org/officeDocument/2006/relationships/hyperlink" Target="https://www.diodes.com/part/view/DMT35M8LDG" TargetMode="External"/><Relationship Id="rId_hyperlink_2977" Type="http://schemas.openxmlformats.org/officeDocument/2006/relationships/hyperlink" Target="https://www.diodes.com/datasheet/download/DMT36M1LPS.pdf" TargetMode="External"/><Relationship Id="rId_hyperlink_2978" Type="http://schemas.openxmlformats.org/officeDocument/2006/relationships/hyperlink" Target="https://www.diodes.com/part/view/DMT36M1LPS" TargetMode="External"/><Relationship Id="rId_hyperlink_2979" Type="http://schemas.openxmlformats.org/officeDocument/2006/relationships/hyperlink" Target="https://www.diodes.com/datasheet/download/DMT3M70LPSW.pdf" TargetMode="External"/><Relationship Id="rId_hyperlink_2980" Type="http://schemas.openxmlformats.org/officeDocument/2006/relationships/hyperlink" Target="https://www.diodes.com/part/view/DMT3M70LPSW" TargetMode="External"/><Relationship Id="rId_hyperlink_2981" Type="http://schemas.openxmlformats.org/officeDocument/2006/relationships/hyperlink" Target="https://www.diodes.com/datasheet/download/DMT3M70LPSWQ.pdf" TargetMode="External"/><Relationship Id="rId_hyperlink_2982" Type="http://schemas.openxmlformats.org/officeDocument/2006/relationships/hyperlink" Target="https://www.diodes.com/part/view/DMT3M70LPSWQ" TargetMode="External"/><Relationship Id="rId_hyperlink_2983" Type="http://schemas.openxmlformats.org/officeDocument/2006/relationships/hyperlink" Target="https://www.diodes.com/datasheet/download/DMT4002LPS.pdf" TargetMode="External"/><Relationship Id="rId_hyperlink_2984" Type="http://schemas.openxmlformats.org/officeDocument/2006/relationships/hyperlink" Target="https://www.diodes.com/part/view/DMT4002LPS" TargetMode="External"/><Relationship Id="rId_hyperlink_2985" Type="http://schemas.openxmlformats.org/officeDocument/2006/relationships/hyperlink" Target="https://www.diodes.com/datasheet/download/DMT4003SCT.pdf" TargetMode="External"/><Relationship Id="rId_hyperlink_2986" Type="http://schemas.openxmlformats.org/officeDocument/2006/relationships/hyperlink" Target="https://www.diodes.com/part/view/DMT4003SCT" TargetMode="External"/><Relationship Id="rId_hyperlink_2987" Type="http://schemas.openxmlformats.org/officeDocument/2006/relationships/hyperlink" Target="https://www.diodes.com/datasheet/download/DMT4004LPS.pdf" TargetMode="External"/><Relationship Id="rId_hyperlink_2988" Type="http://schemas.openxmlformats.org/officeDocument/2006/relationships/hyperlink" Target="https://www.diodes.com/part/view/DMT4004LPS" TargetMode="External"/><Relationship Id="rId_hyperlink_2989" Type="http://schemas.openxmlformats.org/officeDocument/2006/relationships/hyperlink" Target="https://www.diodes.com/datasheet/download/DMT4005SCT.pdf" TargetMode="External"/><Relationship Id="rId_hyperlink_2990" Type="http://schemas.openxmlformats.org/officeDocument/2006/relationships/hyperlink" Target="https://www.diodes.com/part/view/DMT4005SCT" TargetMode="External"/><Relationship Id="rId_hyperlink_2991" Type="http://schemas.openxmlformats.org/officeDocument/2006/relationships/hyperlink" Target="https://www.diodes.com/datasheet/download/DMT4008LFDF.pdf" TargetMode="External"/><Relationship Id="rId_hyperlink_2992" Type="http://schemas.openxmlformats.org/officeDocument/2006/relationships/hyperlink" Target="https://www.diodes.com/part/view/DMT4008LFDF" TargetMode="External"/><Relationship Id="rId_hyperlink_2993" Type="http://schemas.openxmlformats.org/officeDocument/2006/relationships/hyperlink" Target="https://www.diodes.com/datasheet/download/DMT4008LFV.pdf" TargetMode="External"/><Relationship Id="rId_hyperlink_2994" Type="http://schemas.openxmlformats.org/officeDocument/2006/relationships/hyperlink" Target="https://www.diodes.com/part/view/DMT4008LFV" TargetMode="External"/><Relationship Id="rId_hyperlink_2995" Type="http://schemas.openxmlformats.org/officeDocument/2006/relationships/hyperlink" Target="https://www.diodes.com/datasheet/download/DMT4008LSS.pdf" TargetMode="External"/><Relationship Id="rId_hyperlink_2996" Type="http://schemas.openxmlformats.org/officeDocument/2006/relationships/hyperlink" Target="https://www.diodes.com/part/view/DMT4008LSS" TargetMode="External"/><Relationship Id="rId_hyperlink_2997" Type="http://schemas.openxmlformats.org/officeDocument/2006/relationships/hyperlink" Target="https://www.diodes.com/datasheet/download/DMT4011LFG.pdf" TargetMode="External"/><Relationship Id="rId_hyperlink_2998" Type="http://schemas.openxmlformats.org/officeDocument/2006/relationships/hyperlink" Target="https://www.diodes.com/part/view/DMT4011LFG" TargetMode="External"/><Relationship Id="rId_hyperlink_2999" Type="http://schemas.openxmlformats.org/officeDocument/2006/relationships/hyperlink" Target="https://www.diodes.com/datasheet/download/DMT4011LSS.pdf" TargetMode="External"/><Relationship Id="rId_hyperlink_3000" Type="http://schemas.openxmlformats.org/officeDocument/2006/relationships/hyperlink" Target="https://www.diodes.com/part/view/DMT4011LSS" TargetMode="External"/><Relationship Id="rId_hyperlink_3001" Type="http://schemas.openxmlformats.org/officeDocument/2006/relationships/hyperlink" Target="https://www.diodes.com/datasheet/download/DMT4014LDV.pdf" TargetMode="External"/><Relationship Id="rId_hyperlink_3002" Type="http://schemas.openxmlformats.org/officeDocument/2006/relationships/hyperlink" Target="https://www.diodes.com/part/view/DMT4014LDV" TargetMode="External"/><Relationship Id="rId_hyperlink_3003" Type="http://schemas.openxmlformats.org/officeDocument/2006/relationships/hyperlink" Target="https://www.diodes.com/datasheet/download/DMT4015LDV.pdf" TargetMode="External"/><Relationship Id="rId_hyperlink_3004" Type="http://schemas.openxmlformats.org/officeDocument/2006/relationships/hyperlink" Target="https://www.diodes.com/part/view/DMT4015LDV" TargetMode="External"/><Relationship Id="rId_hyperlink_3005" Type="http://schemas.openxmlformats.org/officeDocument/2006/relationships/hyperlink" Target="https://www.diodes.com/datasheet/download/DMT4031LFDF.pdf" TargetMode="External"/><Relationship Id="rId_hyperlink_3006" Type="http://schemas.openxmlformats.org/officeDocument/2006/relationships/hyperlink" Target="https://www.diodes.com/part/view/DMT4031LFDF" TargetMode="External"/><Relationship Id="rId_hyperlink_3007" Type="http://schemas.openxmlformats.org/officeDocument/2006/relationships/hyperlink" Target="https://www.diodes.com/datasheet/download/DMT4031LSD.pdf" TargetMode="External"/><Relationship Id="rId_hyperlink_3008" Type="http://schemas.openxmlformats.org/officeDocument/2006/relationships/hyperlink" Target="https://www.diodes.com/part/view/DMT4031LSD" TargetMode="External"/><Relationship Id="rId_hyperlink_3009" Type="http://schemas.openxmlformats.org/officeDocument/2006/relationships/hyperlink" Target="https://www.diodes.com/datasheet/download/DMT43M8LFV.pdf" TargetMode="External"/><Relationship Id="rId_hyperlink_3010" Type="http://schemas.openxmlformats.org/officeDocument/2006/relationships/hyperlink" Target="https://www.diodes.com/part/view/DMT43M8LFV" TargetMode="External"/><Relationship Id="rId_hyperlink_3011" Type="http://schemas.openxmlformats.org/officeDocument/2006/relationships/hyperlink" Target="https://www.diodes.com/datasheet/download/DMT47M2LDV.pdf" TargetMode="External"/><Relationship Id="rId_hyperlink_3012" Type="http://schemas.openxmlformats.org/officeDocument/2006/relationships/hyperlink" Target="https://www.diodes.com/part/view/DMT47M2LDV" TargetMode="External"/><Relationship Id="rId_hyperlink_3013" Type="http://schemas.openxmlformats.org/officeDocument/2006/relationships/hyperlink" Target="https://www.diodes.com/datasheet/download/DMT47M2LDVQ.pdf" TargetMode="External"/><Relationship Id="rId_hyperlink_3014" Type="http://schemas.openxmlformats.org/officeDocument/2006/relationships/hyperlink" Target="https://www.diodes.com/part/view/DMT47M2LDVQ" TargetMode="External"/><Relationship Id="rId_hyperlink_3015" Type="http://schemas.openxmlformats.org/officeDocument/2006/relationships/hyperlink" Target="https://www.diodes.com/datasheet/download/DMT47M2SFVW.pdf" TargetMode="External"/><Relationship Id="rId_hyperlink_3016" Type="http://schemas.openxmlformats.org/officeDocument/2006/relationships/hyperlink" Target="https://www.diodes.com/part/view/DMT47M2SFVW" TargetMode="External"/><Relationship Id="rId_hyperlink_3017" Type="http://schemas.openxmlformats.org/officeDocument/2006/relationships/hyperlink" Target="https://www.diodes.com/datasheet/download/DMT47M2SFVWQ.pdf" TargetMode="External"/><Relationship Id="rId_hyperlink_3018" Type="http://schemas.openxmlformats.org/officeDocument/2006/relationships/hyperlink" Target="https://www.diodes.com/part/view/DMT47M2SFVWQ" TargetMode="External"/><Relationship Id="rId_hyperlink_3019" Type="http://schemas.openxmlformats.org/officeDocument/2006/relationships/hyperlink" Target="https://www.diodes.com/datasheet/download/DMT5012LFVW.pdf" TargetMode="External"/><Relationship Id="rId_hyperlink_3020" Type="http://schemas.openxmlformats.org/officeDocument/2006/relationships/hyperlink" Target="https://www.diodes.com/part/view/DMT5012LFVW" TargetMode="External"/><Relationship Id="rId_hyperlink_3021" Type="http://schemas.openxmlformats.org/officeDocument/2006/relationships/hyperlink" Target="https://www.diodes.com/datasheet/download/DMT6002LPS.pdf" TargetMode="External"/><Relationship Id="rId_hyperlink_3022" Type="http://schemas.openxmlformats.org/officeDocument/2006/relationships/hyperlink" Target="https://www.diodes.com/part/view/DMT6002LPS" TargetMode="External"/><Relationship Id="rId_hyperlink_3023" Type="http://schemas.openxmlformats.org/officeDocument/2006/relationships/hyperlink" Target="https://www.diodes.com/datasheet/download/DMT6004LPS.pdf" TargetMode="External"/><Relationship Id="rId_hyperlink_3024" Type="http://schemas.openxmlformats.org/officeDocument/2006/relationships/hyperlink" Target="https://www.diodes.com/part/view/DMT6004LPS" TargetMode="External"/><Relationship Id="rId_hyperlink_3025" Type="http://schemas.openxmlformats.org/officeDocument/2006/relationships/hyperlink" Target="https://www.diodes.com/datasheet/download/DMT6004SCT.pdf" TargetMode="External"/><Relationship Id="rId_hyperlink_3026" Type="http://schemas.openxmlformats.org/officeDocument/2006/relationships/hyperlink" Target="https://www.diodes.com/part/view/DMT6004SCT" TargetMode="External"/><Relationship Id="rId_hyperlink_3027" Type="http://schemas.openxmlformats.org/officeDocument/2006/relationships/hyperlink" Target="https://www.diodes.com/datasheet/download/DMT6004SPS.pdf" TargetMode="External"/><Relationship Id="rId_hyperlink_3028" Type="http://schemas.openxmlformats.org/officeDocument/2006/relationships/hyperlink" Target="https://www.diodes.com/part/view/DMT6004SPS" TargetMode="External"/><Relationship Id="rId_hyperlink_3029" Type="http://schemas.openxmlformats.org/officeDocument/2006/relationships/hyperlink" Target="https://www.diodes.com/datasheet/download/DMT6005LCT.pdf" TargetMode="External"/><Relationship Id="rId_hyperlink_3030" Type="http://schemas.openxmlformats.org/officeDocument/2006/relationships/hyperlink" Target="https://www.diodes.com/part/view/DMT6005LCT" TargetMode="External"/><Relationship Id="rId_hyperlink_3031" Type="http://schemas.openxmlformats.org/officeDocument/2006/relationships/hyperlink" Target="https://www.diodes.com/datasheet/download/DMT6005LFG.pdf" TargetMode="External"/><Relationship Id="rId_hyperlink_3032" Type="http://schemas.openxmlformats.org/officeDocument/2006/relationships/hyperlink" Target="https://www.diodes.com/part/view/DMT6005LFG" TargetMode="External"/><Relationship Id="rId_hyperlink_3033" Type="http://schemas.openxmlformats.org/officeDocument/2006/relationships/hyperlink" Target="https://www.diodes.com/datasheet/download/DMT6005LPS.pdf" TargetMode="External"/><Relationship Id="rId_hyperlink_3034" Type="http://schemas.openxmlformats.org/officeDocument/2006/relationships/hyperlink" Target="https://www.diodes.com/part/view/DMT6005LPS" TargetMode="External"/><Relationship Id="rId_hyperlink_3035" Type="http://schemas.openxmlformats.org/officeDocument/2006/relationships/hyperlink" Target="https://www.diodes.com/datasheet/download/DMT6005LSS.pdf" TargetMode="External"/><Relationship Id="rId_hyperlink_3036" Type="http://schemas.openxmlformats.org/officeDocument/2006/relationships/hyperlink" Target="https://www.diodes.com/part/view/DMT6005LSS" TargetMode="External"/><Relationship Id="rId_hyperlink_3037" Type="http://schemas.openxmlformats.org/officeDocument/2006/relationships/hyperlink" Target="https://www.diodes.com/datasheet/download/DMT6006LK3.pdf" TargetMode="External"/><Relationship Id="rId_hyperlink_3038" Type="http://schemas.openxmlformats.org/officeDocument/2006/relationships/hyperlink" Target="https://www.diodes.com/part/view/DMT6006LK3" TargetMode="External"/><Relationship Id="rId_hyperlink_3039" Type="http://schemas.openxmlformats.org/officeDocument/2006/relationships/hyperlink" Target="https://www.diodes.com/datasheet/download/DMT6006LSS.pdf" TargetMode="External"/><Relationship Id="rId_hyperlink_3040" Type="http://schemas.openxmlformats.org/officeDocument/2006/relationships/hyperlink" Target="https://www.diodes.com/part/view/DMT6006LSS" TargetMode="External"/><Relationship Id="rId_hyperlink_3041" Type="http://schemas.openxmlformats.org/officeDocument/2006/relationships/hyperlink" Target="https://www.diodes.com/datasheet/download/DMT6006SPS.pdf" TargetMode="External"/><Relationship Id="rId_hyperlink_3042" Type="http://schemas.openxmlformats.org/officeDocument/2006/relationships/hyperlink" Target="https://www.diodes.com/part/view/DMT6006SPS" TargetMode="External"/><Relationship Id="rId_hyperlink_3043" Type="http://schemas.openxmlformats.org/officeDocument/2006/relationships/hyperlink" Target="https://www.diodes.com/datasheet/download/DMT6007LFG.pdf" TargetMode="External"/><Relationship Id="rId_hyperlink_3044" Type="http://schemas.openxmlformats.org/officeDocument/2006/relationships/hyperlink" Target="https://www.diodes.com/part/view/DMT6007LFG" TargetMode="External"/><Relationship Id="rId_hyperlink_3045" Type="http://schemas.openxmlformats.org/officeDocument/2006/relationships/hyperlink" Target="https://www.diodes.com/datasheet/download/DMT6007LFGQ.pdf" TargetMode="External"/><Relationship Id="rId_hyperlink_3046" Type="http://schemas.openxmlformats.org/officeDocument/2006/relationships/hyperlink" Target="https://www.diodes.com/part/view/DMT6007LFGQ" TargetMode="External"/><Relationship Id="rId_hyperlink_3047" Type="http://schemas.openxmlformats.org/officeDocument/2006/relationships/hyperlink" Target="https://www.diodes.com/datasheet/download/DMT6008LFG.pdf" TargetMode="External"/><Relationship Id="rId_hyperlink_3048" Type="http://schemas.openxmlformats.org/officeDocument/2006/relationships/hyperlink" Target="https://www.diodes.com/part/view/DMT6008LFG" TargetMode="External"/><Relationship Id="rId_hyperlink_3049" Type="http://schemas.openxmlformats.org/officeDocument/2006/relationships/hyperlink" Target="https://www.diodes.com/datasheet/download/DMT6009LCT.pdf" TargetMode="External"/><Relationship Id="rId_hyperlink_3050" Type="http://schemas.openxmlformats.org/officeDocument/2006/relationships/hyperlink" Target="https://www.diodes.com/part/view/DMT6009LCT" TargetMode="External"/><Relationship Id="rId_hyperlink_3051" Type="http://schemas.openxmlformats.org/officeDocument/2006/relationships/hyperlink" Target="https://www.diodes.com/datasheet/download/DMT6009LFG.pdf" TargetMode="External"/><Relationship Id="rId_hyperlink_3052" Type="http://schemas.openxmlformats.org/officeDocument/2006/relationships/hyperlink" Target="https://www.diodes.com/part/view/DMT6009LFG" TargetMode="External"/><Relationship Id="rId_hyperlink_3053" Type="http://schemas.openxmlformats.org/officeDocument/2006/relationships/hyperlink" Target="https://www.diodes.com/datasheet/download/DMT6009LK3.pdf" TargetMode="External"/><Relationship Id="rId_hyperlink_3054" Type="http://schemas.openxmlformats.org/officeDocument/2006/relationships/hyperlink" Target="https://www.diodes.com/part/view/DMT6009LK3" TargetMode="External"/><Relationship Id="rId_hyperlink_3055" Type="http://schemas.openxmlformats.org/officeDocument/2006/relationships/hyperlink" Target="https://www.diodes.com/datasheet/download/DMT6009LPS.pdf" TargetMode="External"/><Relationship Id="rId_hyperlink_3056" Type="http://schemas.openxmlformats.org/officeDocument/2006/relationships/hyperlink" Target="https://www.diodes.com/part/view/DMT6009LPS" TargetMode="External"/><Relationship Id="rId_hyperlink_3057" Type="http://schemas.openxmlformats.org/officeDocument/2006/relationships/hyperlink" Target="https://www.diodes.com/datasheet/download/DMT6009LSS.pdf" TargetMode="External"/><Relationship Id="rId_hyperlink_3058" Type="http://schemas.openxmlformats.org/officeDocument/2006/relationships/hyperlink" Target="https://www.diodes.com/part/view/DMT6009LSS" TargetMode="External"/><Relationship Id="rId_hyperlink_3059" Type="http://schemas.openxmlformats.org/officeDocument/2006/relationships/hyperlink" Target="https://www.diodes.com/datasheet/download/DMT6010LFG.pdf" TargetMode="External"/><Relationship Id="rId_hyperlink_3060" Type="http://schemas.openxmlformats.org/officeDocument/2006/relationships/hyperlink" Target="https://www.diodes.com/part/view/DMT6010LFG" TargetMode="External"/><Relationship Id="rId_hyperlink_3061" Type="http://schemas.openxmlformats.org/officeDocument/2006/relationships/hyperlink" Target="https://www.diodes.com/datasheet/download/DMT6010LPS.pdf" TargetMode="External"/><Relationship Id="rId_hyperlink_3062" Type="http://schemas.openxmlformats.org/officeDocument/2006/relationships/hyperlink" Target="https://www.diodes.com/part/view/DMT6010LPS" TargetMode="External"/><Relationship Id="rId_hyperlink_3063" Type="http://schemas.openxmlformats.org/officeDocument/2006/relationships/hyperlink" Target="https://www.diodes.com/datasheet/download/DMT6010LSS.pdf" TargetMode="External"/><Relationship Id="rId_hyperlink_3064" Type="http://schemas.openxmlformats.org/officeDocument/2006/relationships/hyperlink" Target="https://www.diodes.com/part/view/DMT6010LSS" TargetMode="External"/><Relationship Id="rId_hyperlink_3065" Type="http://schemas.openxmlformats.org/officeDocument/2006/relationships/hyperlink" Target="https://www.diodes.com/datasheet/download/DMT6010SCT.pdf" TargetMode="External"/><Relationship Id="rId_hyperlink_3066" Type="http://schemas.openxmlformats.org/officeDocument/2006/relationships/hyperlink" Target="https://www.diodes.com/part/view/DMT6010SCT" TargetMode="External"/><Relationship Id="rId_hyperlink_3067" Type="http://schemas.openxmlformats.org/officeDocument/2006/relationships/hyperlink" Target="https://www.diodes.com/datasheet/download/DMT6011LPDW.pdf" TargetMode="External"/><Relationship Id="rId_hyperlink_3068" Type="http://schemas.openxmlformats.org/officeDocument/2006/relationships/hyperlink" Target="https://www.diodes.com/part/view/DMT6011LPDW" TargetMode="External"/><Relationship Id="rId_hyperlink_3069" Type="http://schemas.openxmlformats.org/officeDocument/2006/relationships/hyperlink" Target="https://www.diodes.com/datasheet/download/DMT6011LSS.pdf" TargetMode="External"/><Relationship Id="rId_hyperlink_3070" Type="http://schemas.openxmlformats.org/officeDocument/2006/relationships/hyperlink" Target="https://www.diodes.com/part/view/DMT6011LSS" TargetMode="External"/><Relationship Id="rId_hyperlink_3071" Type="http://schemas.openxmlformats.org/officeDocument/2006/relationships/hyperlink" Target="https://www.diodes.com/datasheet/download/DMT6012LFDF.pdf" TargetMode="External"/><Relationship Id="rId_hyperlink_3072" Type="http://schemas.openxmlformats.org/officeDocument/2006/relationships/hyperlink" Target="https://www.diodes.com/part/view/DMT6012LFDF" TargetMode="External"/><Relationship Id="rId_hyperlink_3073" Type="http://schemas.openxmlformats.org/officeDocument/2006/relationships/hyperlink" Target="https://www.diodes.com/datasheet/download/DMT6012LFV.pdf" TargetMode="External"/><Relationship Id="rId_hyperlink_3074" Type="http://schemas.openxmlformats.org/officeDocument/2006/relationships/hyperlink" Target="https://www.diodes.com/part/view/DMT6012LFV" TargetMode="External"/><Relationship Id="rId_hyperlink_3075" Type="http://schemas.openxmlformats.org/officeDocument/2006/relationships/hyperlink" Target="https://www.diodes.com/datasheet/download/DMT6012LPSW.pdf" TargetMode="External"/><Relationship Id="rId_hyperlink_3076" Type="http://schemas.openxmlformats.org/officeDocument/2006/relationships/hyperlink" Target="https://www.diodes.com/part/view/DMT6012LPSW" TargetMode="External"/><Relationship Id="rId_hyperlink_3077" Type="http://schemas.openxmlformats.org/officeDocument/2006/relationships/hyperlink" Target="https://www.diodes.com/datasheet/download/DMT6012LSS.pdf" TargetMode="External"/><Relationship Id="rId_hyperlink_3078" Type="http://schemas.openxmlformats.org/officeDocument/2006/relationships/hyperlink" Target="https://www.diodes.com/part/view/DMT6012LSS" TargetMode="External"/><Relationship Id="rId_hyperlink_3079" Type="http://schemas.openxmlformats.org/officeDocument/2006/relationships/hyperlink" Target="https://www.diodes.com/datasheet/download/DMT6013LFDF.pdf" TargetMode="External"/><Relationship Id="rId_hyperlink_3080" Type="http://schemas.openxmlformats.org/officeDocument/2006/relationships/hyperlink" Target="https://www.diodes.com/part/view/DMT6013LFDF" TargetMode="External"/><Relationship Id="rId_hyperlink_3081" Type="http://schemas.openxmlformats.org/officeDocument/2006/relationships/hyperlink" Target="https://www.diodes.com/datasheet/download/DMT6013LSS.pdf" TargetMode="External"/><Relationship Id="rId_hyperlink_3082" Type="http://schemas.openxmlformats.org/officeDocument/2006/relationships/hyperlink" Target="https://www.diodes.com/part/view/DMT6013LSS" TargetMode="External"/><Relationship Id="rId_hyperlink_3083" Type="http://schemas.openxmlformats.org/officeDocument/2006/relationships/hyperlink" Target="https://www.diodes.com/datasheet/download/DMT6015LFV.pdf" TargetMode="External"/><Relationship Id="rId_hyperlink_3084" Type="http://schemas.openxmlformats.org/officeDocument/2006/relationships/hyperlink" Target="https://www.diodes.com/part/view/DMT6015LFV" TargetMode="External"/><Relationship Id="rId_hyperlink_3085" Type="http://schemas.openxmlformats.org/officeDocument/2006/relationships/hyperlink" Target="https://www.diodes.com/datasheet/download/DMT6015LFVW.pdf" TargetMode="External"/><Relationship Id="rId_hyperlink_3086" Type="http://schemas.openxmlformats.org/officeDocument/2006/relationships/hyperlink" Target="https://www.diodes.com/part/view/DMT6015LFVW" TargetMode="External"/><Relationship Id="rId_hyperlink_3087" Type="http://schemas.openxmlformats.org/officeDocument/2006/relationships/hyperlink" Target="https://www.diodes.com/datasheet/download/DMT6015LPDW.pdf" TargetMode="External"/><Relationship Id="rId_hyperlink_3088" Type="http://schemas.openxmlformats.org/officeDocument/2006/relationships/hyperlink" Target="https://www.diodes.com/part/view/DMT6015LPDW" TargetMode="External"/><Relationship Id="rId_hyperlink_3089" Type="http://schemas.openxmlformats.org/officeDocument/2006/relationships/hyperlink" Target="https://www.diodes.com/datasheet/download/DMT6015LPS.pdf" TargetMode="External"/><Relationship Id="rId_hyperlink_3090" Type="http://schemas.openxmlformats.org/officeDocument/2006/relationships/hyperlink" Target="https://www.diodes.com/part/view/DMT6015LPS" TargetMode="External"/><Relationship Id="rId_hyperlink_3091" Type="http://schemas.openxmlformats.org/officeDocument/2006/relationships/hyperlink" Target="https://www.diodes.com/datasheet/download/DMT6015LSS.pdf" TargetMode="External"/><Relationship Id="rId_hyperlink_3092" Type="http://schemas.openxmlformats.org/officeDocument/2006/relationships/hyperlink" Target="https://www.diodes.com/part/view/DMT6015LSS" TargetMode="External"/><Relationship Id="rId_hyperlink_3093" Type="http://schemas.openxmlformats.org/officeDocument/2006/relationships/hyperlink" Target="https://www.diodes.com/datasheet/download/DMT6016LFDF.pdf" TargetMode="External"/><Relationship Id="rId_hyperlink_3094" Type="http://schemas.openxmlformats.org/officeDocument/2006/relationships/hyperlink" Target="https://www.diodes.com/part/view/DMT6016LFDF" TargetMode="External"/><Relationship Id="rId_hyperlink_3095" Type="http://schemas.openxmlformats.org/officeDocument/2006/relationships/hyperlink" Target="https://www.diodes.com/datasheet/download/DMT6016LPS.pdf" TargetMode="External"/><Relationship Id="rId_hyperlink_3096" Type="http://schemas.openxmlformats.org/officeDocument/2006/relationships/hyperlink" Target="https://www.diodes.com/part/view/DMT6016LPS" TargetMode="External"/><Relationship Id="rId_hyperlink_3097" Type="http://schemas.openxmlformats.org/officeDocument/2006/relationships/hyperlink" Target="https://www.diodes.com/datasheet/download/DMT6016LPSW.pdf" TargetMode="External"/><Relationship Id="rId_hyperlink_3098" Type="http://schemas.openxmlformats.org/officeDocument/2006/relationships/hyperlink" Target="https://www.diodes.com/part/view/DMT6016LPSW" TargetMode="External"/><Relationship Id="rId_hyperlink_3099" Type="http://schemas.openxmlformats.org/officeDocument/2006/relationships/hyperlink" Target="https://www.diodes.com/datasheet/download/DMT6016LSS.pdf" TargetMode="External"/><Relationship Id="rId_hyperlink_3100" Type="http://schemas.openxmlformats.org/officeDocument/2006/relationships/hyperlink" Target="https://www.diodes.com/part/view/DMT6016LSS" TargetMode="External"/><Relationship Id="rId_hyperlink_3101" Type="http://schemas.openxmlformats.org/officeDocument/2006/relationships/hyperlink" Target="https://www.diodes.com/datasheet/download/DMT6017LDV.pdf" TargetMode="External"/><Relationship Id="rId_hyperlink_3102" Type="http://schemas.openxmlformats.org/officeDocument/2006/relationships/hyperlink" Target="https://www.diodes.com/part/view/DMT6017LDV" TargetMode="External"/><Relationship Id="rId_hyperlink_3103" Type="http://schemas.openxmlformats.org/officeDocument/2006/relationships/hyperlink" Target="https://www.diodes.com/datasheet/download/DMT6017LFDF.pdf" TargetMode="External"/><Relationship Id="rId_hyperlink_3104" Type="http://schemas.openxmlformats.org/officeDocument/2006/relationships/hyperlink" Target="https://www.diodes.com/part/view/DMT6017LFDF" TargetMode="External"/><Relationship Id="rId_hyperlink_3105" Type="http://schemas.openxmlformats.org/officeDocument/2006/relationships/hyperlink" Target="https://www.diodes.com/datasheet/download/DMT6017LFV.pdf" TargetMode="External"/><Relationship Id="rId_hyperlink_3106" Type="http://schemas.openxmlformats.org/officeDocument/2006/relationships/hyperlink" Target="https://www.diodes.com/part/view/DMT6017LFV" TargetMode="External"/><Relationship Id="rId_hyperlink_3107" Type="http://schemas.openxmlformats.org/officeDocument/2006/relationships/hyperlink" Target="https://www.diodes.com/datasheet/download/DMT6017LSS.pdf" TargetMode="External"/><Relationship Id="rId_hyperlink_3108" Type="http://schemas.openxmlformats.org/officeDocument/2006/relationships/hyperlink" Target="https://www.diodes.com/part/view/DMT6017LSS" TargetMode="External"/><Relationship Id="rId_hyperlink_3109" Type="http://schemas.openxmlformats.org/officeDocument/2006/relationships/hyperlink" Target="https://www.diodes.com/datasheet/download/DMT6018LDR.pdf" TargetMode="External"/><Relationship Id="rId_hyperlink_3110" Type="http://schemas.openxmlformats.org/officeDocument/2006/relationships/hyperlink" Target="https://www.diodes.com/part/view/DMT6018LDR" TargetMode="External"/><Relationship Id="rId_hyperlink_3111" Type="http://schemas.openxmlformats.org/officeDocument/2006/relationships/hyperlink" Target="https://www.diodes.com/datasheet/download/DMT6030LFCL.pdf" TargetMode="External"/><Relationship Id="rId_hyperlink_3112" Type="http://schemas.openxmlformats.org/officeDocument/2006/relationships/hyperlink" Target="https://www.diodes.com/part/view/DMT6030LFCL" TargetMode="External"/><Relationship Id="rId_hyperlink_3113" Type="http://schemas.openxmlformats.org/officeDocument/2006/relationships/hyperlink" Target="https://www.diodes.com/datasheet/download/DMT6030LFDF.pdf" TargetMode="External"/><Relationship Id="rId_hyperlink_3114" Type="http://schemas.openxmlformats.org/officeDocument/2006/relationships/hyperlink" Target="https://www.diodes.com/part/view/DMT6030LFDF" TargetMode="External"/><Relationship Id="rId_hyperlink_3115" Type="http://schemas.openxmlformats.org/officeDocument/2006/relationships/hyperlink" Target="https://www.diodes.com/datasheet/download/DMT615MLFV.pdf" TargetMode="External"/><Relationship Id="rId_hyperlink_3116" Type="http://schemas.openxmlformats.org/officeDocument/2006/relationships/hyperlink" Target="https://www.diodes.com/part/view/DMT615MLFV" TargetMode="External"/><Relationship Id="rId_hyperlink_3117" Type="http://schemas.openxmlformats.org/officeDocument/2006/relationships/hyperlink" Target="https://www.diodes.com/datasheet/download/DMT616MLSS.pdf" TargetMode="External"/><Relationship Id="rId_hyperlink_3118" Type="http://schemas.openxmlformats.org/officeDocument/2006/relationships/hyperlink" Target="https://www.diodes.com/part/view/DMT616MLSS" TargetMode="External"/><Relationship Id="rId_hyperlink_3119" Type="http://schemas.openxmlformats.org/officeDocument/2006/relationships/hyperlink" Target="https://www.diodes.com/datasheet/download/DMT61M5SPSW.pdf" TargetMode="External"/><Relationship Id="rId_hyperlink_3120" Type="http://schemas.openxmlformats.org/officeDocument/2006/relationships/hyperlink" Target="https://www.diodes.com/part/view/DMT61M5SPSW" TargetMode="External"/><Relationship Id="rId_hyperlink_3121" Type="http://schemas.openxmlformats.org/officeDocument/2006/relationships/hyperlink" Target="https://www.diodes.com/datasheet/download/DMT61M8SPS.pdf" TargetMode="External"/><Relationship Id="rId_hyperlink_3122" Type="http://schemas.openxmlformats.org/officeDocument/2006/relationships/hyperlink" Target="https://www.diodes.com/part/view/DMT61M8SPS" TargetMode="External"/><Relationship Id="rId_hyperlink_3123" Type="http://schemas.openxmlformats.org/officeDocument/2006/relationships/hyperlink" Target="https://www.diodes.com/datasheet/download/DMT62M7SPSW.pdf" TargetMode="External"/><Relationship Id="rId_hyperlink_3124" Type="http://schemas.openxmlformats.org/officeDocument/2006/relationships/hyperlink" Target="https://www.diodes.com/part/view/DMT62M7SPSW" TargetMode="External"/><Relationship Id="rId_hyperlink_3125" Type="http://schemas.openxmlformats.org/officeDocument/2006/relationships/hyperlink" Target="https://www.diodes.com/datasheet/download/DMT63M5LFG.pdf" TargetMode="External"/><Relationship Id="rId_hyperlink_3126" Type="http://schemas.openxmlformats.org/officeDocument/2006/relationships/hyperlink" Target="https://www.diodes.com/part/view/DMT63M5LFG" TargetMode="External"/><Relationship Id="rId_hyperlink_3127" Type="http://schemas.openxmlformats.org/officeDocument/2006/relationships/hyperlink" Target="https://www.diodes.com/datasheet/download/DMT64M1LCG.pdf" TargetMode="External"/><Relationship Id="rId_hyperlink_3128" Type="http://schemas.openxmlformats.org/officeDocument/2006/relationships/hyperlink" Target="https://www.diodes.com/part/view/DMT64M1LCG" TargetMode="External"/><Relationship Id="rId_hyperlink_3129" Type="http://schemas.openxmlformats.org/officeDocument/2006/relationships/hyperlink" Target="https://www.diodes.com/datasheet/download/DMT64M1LPSW.pdf" TargetMode="External"/><Relationship Id="rId_hyperlink_3130" Type="http://schemas.openxmlformats.org/officeDocument/2006/relationships/hyperlink" Target="https://www.diodes.com/part/view/DMT64M1LPSW" TargetMode="External"/><Relationship Id="rId_hyperlink_3131" Type="http://schemas.openxmlformats.org/officeDocument/2006/relationships/hyperlink" Target="https://www.diodes.com/datasheet/download/DMT64M2LPSW.pdf" TargetMode="External"/><Relationship Id="rId_hyperlink_3132" Type="http://schemas.openxmlformats.org/officeDocument/2006/relationships/hyperlink" Target="https://www.diodes.com/part/view/DMT64M2LPSW" TargetMode="External"/><Relationship Id="rId_hyperlink_3133" Type="http://schemas.openxmlformats.org/officeDocument/2006/relationships/hyperlink" Target="https://www.diodes.com/datasheet/download/DMT64M8LCG.pdf" TargetMode="External"/><Relationship Id="rId_hyperlink_3134" Type="http://schemas.openxmlformats.org/officeDocument/2006/relationships/hyperlink" Target="https://www.diodes.com/part/view/DMT64M8LCG" TargetMode="External"/><Relationship Id="rId_hyperlink_3135" Type="http://schemas.openxmlformats.org/officeDocument/2006/relationships/hyperlink" Target="https://www.diodes.com/datasheet/download/DMT64M8LSS.pdf" TargetMode="External"/><Relationship Id="rId_hyperlink_3136" Type="http://schemas.openxmlformats.org/officeDocument/2006/relationships/hyperlink" Target="https://www.diodes.com/part/view/DMT64M8LSS" TargetMode="External"/><Relationship Id="rId_hyperlink_3137" Type="http://schemas.openxmlformats.org/officeDocument/2006/relationships/hyperlink" Target="https://www.diodes.com/datasheet/download/DMT67M8LCG.pdf" TargetMode="External"/><Relationship Id="rId_hyperlink_3138" Type="http://schemas.openxmlformats.org/officeDocument/2006/relationships/hyperlink" Target="https://www.diodes.com/part/view/DMT67M8LCG" TargetMode="External"/><Relationship Id="rId_hyperlink_3139" Type="http://schemas.openxmlformats.org/officeDocument/2006/relationships/hyperlink" Target="https://www.diodes.com/datasheet/download/DMT67M8LCGQ.pdf" TargetMode="External"/><Relationship Id="rId_hyperlink_3140" Type="http://schemas.openxmlformats.org/officeDocument/2006/relationships/hyperlink" Target="https://www.diodes.com/part/view/DMT67M8LCGQ" TargetMode="External"/><Relationship Id="rId_hyperlink_3141" Type="http://schemas.openxmlformats.org/officeDocument/2006/relationships/hyperlink" Target="https://www.diodes.com/datasheet/download/DMT67M8LK3.pdf" TargetMode="External"/><Relationship Id="rId_hyperlink_3142" Type="http://schemas.openxmlformats.org/officeDocument/2006/relationships/hyperlink" Target="https://www.diodes.com/part/view/DMT67M8LK3" TargetMode="External"/><Relationship Id="rId_hyperlink_3143" Type="http://schemas.openxmlformats.org/officeDocument/2006/relationships/hyperlink" Target="https://www.diodes.com/datasheet/download/DMT67M8LPSW.pdf" TargetMode="External"/><Relationship Id="rId_hyperlink_3144" Type="http://schemas.openxmlformats.org/officeDocument/2006/relationships/hyperlink" Target="https://www.diodes.com/part/view/DMT67M8LPSW" TargetMode="External"/><Relationship Id="rId_hyperlink_3145" Type="http://schemas.openxmlformats.org/officeDocument/2006/relationships/hyperlink" Target="https://www.diodes.com/datasheet/download/DMT67M8LSS.pdf" TargetMode="External"/><Relationship Id="rId_hyperlink_3146" Type="http://schemas.openxmlformats.org/officeDocument/2006/relationships/hyperlink" Target="https://www.diodes.com/part/view/DMT67M8LSS" TargetMode="External"/><Relationship Id="rId_hyperlink_3147" Type="http://schemas.openxmlformats.org/officeDocument/2006/relationships/hyperlink" Target="https://www.diodes.com/datasheet/download/DMT68M8LFV.pdf" TargetMode="External"/><Relationship Id="rId_hyperlink_3148" Type="http://schemas.openxmlformats.org/officeDocument/2006/relationships/hyperlink" Target="https://www.diodes.com/part/view/DMT68M8LFV" TargetMode="External"/><Relationship Id="rId_hyperlink_3149" Type="http://schemas.openxmlformats.org/officeDocument/2006/relationships/hyperlink" Target="https://www.diodes.com/datasheet/download/DMT68M8LPS.pdf" TargetMode="External"/><Relationship Id="rId_hyperlink_3150" Type="http://schemas.openxmlformats.org/officeDocument/2006/relationships/hyperlink" Target="https://www.diodes.com/part/view/DMT68M8LPS" TargetMode="External"/><Relationship Id="rId_hyperlink_3151" Type="http://schemas.openxmlformats.org/officeDocument/2006/relationships/hyperlink" Target="https://www.diodes.com/datasheet/download/DMT68M8LSS.pdf" TargetMode="External"/><Relationship Id="rId_hyperlink_3152" Type="http://schemas.openxmlformats.org/officeDocument/2006/relationships/hyperlink" Target="https://www.diodes.com/part/view/DMT68M8LSS" TargetMode="External"/><Relationship Id="rId_hyperlink_3153" Type="http://schemas.openxmlformats.org/officeDocument/2006/relationships/hyperlink" Target="https://www.diodes.com/datasheet/download/DMT69M5LCG.pdf" TargetMode="External"/><Relationship Id="rId_hyperlink_3154" Type="http://schemas.openxmlformats.org/officeDocument/2006/relationships/hyperlink" Target="https://www.diodes.com/part/view/DMT69M5LCG" TargetMode="External"/><Relationship Id="rId_hyperlink_3155" Type="http://schemas.openxmlformats.org/officeDocument/2006/relationships/hyperlink" Target="https://www.diodes.com/datasheet/download/DMT69M5LFVW.pdf" TargetMode="External"/><Relationship Id="rId_hyperlink_3156" Type="http://schemas.openxmlformats.org/officeDocument/2006/relationships/hyperlink" Target="https://www.diodes.com/part/view/DMT69M5LFVW" TargetMode="External"/><Relationship Id="rId_hyperlink_3157" Type="http://schemas.openxmlformats.org/officeDocument/2006/relationships/hyperlink" Target="https://www.diodes.com/datasheet/download/DMT69M5LFVWQ.pdf" TargetMode="External"/><Relationship Id="rId_hyperlink_3158" Type="http://schemas.openxmlformats.org/officeDocument/2006/relationships/hyperlink" Target="https://www.diodes.com/part/view/DMT69M5LFVWQ" TargetMode="External"/><Relationship Id="rId_hyperlink_3159" Type="http://schemas.openxmlformats.org/officeDocument/2006/relationships/hyperlink" Target="https://www.diodes.com/datasheet/download/DMT69M5LH3.pdf" TargetMode="External"/><Relationship Id="rId_hyperlink_3160" Type="http://schemas.openxmlformats.org/officeDocument/2006/relationships/hyperlink" Target="https://www.diodes.com/part/view/DMT69M5LH3" TargetMode="External"/><Relationship Id="rId_hyperlink_3161" Type="http://schemas.openxmlformats.org/officeDocument/2006/relationships/hyperlink" Target="https://www.diodes.com/datasheet/download/DMT69M8LFV.pdf" TargetMode="External"/><Relationship Id="rId_hyperlink_3162" Type="http://schemas.openxmlformats.org/officeDocument/2006/relationships/hyperlink" Target="https://www.diodes.com/part/view/DMT69M8LFV" TargetMode="External"/><Relationship Id="rId_hyperlink_3163" Type="http://schemas.openxmlformats.org/officeDocument/2006/relationships/hyperlink" Target="https://www.diodes.com/datasheet/download/DMT69M9LPDW.pdf" TargetMode="External"/><Relationship Id="rId_hyperlink_3164" Type="http://schemas.openxmlformats.org/officeDocument/2006/relationships/hyperlink" Target="https://www.diodes.com/part/view/DMT69M9LPDW" TargetMode="External"/><Relationship Id="rId_hyperlink_3165" Type="http://schemas.openxmlformats.org/officeDocument/2006/relationships/hyperlink" Target="https://www.diodes.com/datasheet/download/DMT8003SPSW.pdf" TargetMode="External"/><Relationship Id="rId_hyperlink_3166" Type="http://schemas.openxmlformats.org/officeDocument/2006/relationships/hyperlink" Target="https://www.diodes.com/part/view/DMT8003SPSW" TargetMode="External"/><Relationship Id="rId_hyperlink_3167" Type="http://schemas.openxmlformats.org/officeDocument/2006/relationships/hyperlink" Target="https://www.diodes.com/datasheet/download/DMT8003SPSWQ.pdf" TargetMode="External"/><Relationship Id="rId_hyperlink_3168" Type="http://schemas.openxmlformats.org/officeDocument/2006/relationships/hyperlink" Target="https://www.diodes.com/part/view/DMT8003SPSWQ" TargetMode="External"/><Relationship Id="rId_hyperlink_3169" Type="http://schemas.openxmlformats.org/officeDocument/2006/relationships/hyperlink" Target="https://www.diodes.com/datasheet/download/DMT8007LPSW.pdf" TargetMode="External"/><Relationship Id="rId_hyperlink_3170" Type="http://schemas.openxmlformats.org/officeDocument/2006/relationships/hyperlink" Target="https://www.diodes.com/part/view/DMT8007LPSW" TargetMode="External"/><Relationship Id="rId_hyperlink_3171" Type="http://schemas.openxmlformats.org/officeDocument/2006/relationships/hyperlink" Target="https://www.diodes.com/datasheet/download/DMT8008LFG.pdf" TargetMode="External"/><Relationship Id="rId_hyperlink_3172" Type="http://schemas.openxmlformats.org/officeDocument/2006/relationships/hyperlink" Target="https://www.diodes.com/part/view/DMT8008LFG" TargetMode="External"/><Relationship Id="rId_hyperlink_3173" Type="http://schemas.openxmlformats.org/officeDocument/2006/relationships/hyperlink" Target="https://www.diodes.com/datasheet/download/DMT8008LK3.pdf" TargetMode="External"/><Relationship Id="rId_hyperlink_3174" Type="http://schemas.openxmlformats.org/officeDocument/2006/relationships/hyperlink" Target="https://www.diodes.com/part/view/DMT8008LK3" TargetMode="External"/><Relationship Id="rId_hyperlink_3175" Type="http://schemas.openxmlformats.org/officeDocument/2006/relationships/hyperlink" Target="https://www.diodes.com/datasheet/download/DMT8008LPS.pdf" TargetMode="External"/><Relationship Id="rId_hyperlink_3176" Type="http://schemas.openxmlformats.org/officeDocument/2006/relationships/hyperlink" Target="https://www.diodes.com/part/view/DMT8008LPS" TargetMode="External"/><Relationship Id="rId_hyperlink_3177" Type="http://schemas.openxmlformats.org/officeDocument/2006/relationships/hyperlink" Target="https://www.diodes.com/datasheet/download/DMT8008LSS.pdf" TargetMode="External"/><Relationship Id="rId_hyperlink_3178" Type="http://schemas.openxmlformats.org/officeDocument/2006/relationships/hyperlink" Target="https://www.diodes.com/part/view/DMT8008LSS" TargetMode="External"/><Relationship Id="rId_hyperlink_3179" Type="http://schemas.openxmlformats.org/officeDocument/2006/relationships/hyperlink" Target="https://www.diodes.com/datasheet/download/DMT8008SCT.pdf" TargetMode="External"/><Relationship Id="rId_hyperlink_3180" Type="http://schemas.openxmlformats.org/officeDocument/2006/relationships/hyperlink" Target="https://www.diodes.com/part/view/DMT8008SCT" TargetMode="External"/><Relationship Id="rId_hyperlink_3181" Type="http://schemas.openxmlformats.org/officeDocument/2006/relationships/hyperlink" Target="https://www.diodes.com/datasheet/download/DMT8008SK3.pdf" TargetMode="External"/><Relationship Id="rId_hyperlink_3182" Type="http://schemas.openxmlformats.org/officeDocument/2006/relationships/hyperlink" Target="https://www.diodes.com/part/view/DMT8008SK3" TargetMode="External"/><Relationship Id="rId_hyperlink_3183" Type="http://schemas.openxmlformats.org/officeDocument/2006/relationships/hyperlink" Target="https://www.diodes.com/datasheet/download/DMT8008SPS.pdf" TargetMode="External"/><Relationship Id="rId_hyperlink_3184" Type="http://schemas.openxmlformats.org/officeDocument/2006/relationships/hyperlink" Target="https://www.diodes.com/part/view/DMT8008SPS" TargetMode="External"/><Relationship Id="rId_hyperlink_3185" Type="http://schemas.openxmlformats.org/officeDocument/2006/relationships/hyperlink" Target="https://www.diodes.com/datasheet/download/DMT8012LFG.pdf" TargetMode="External"/><Relationship Id="rId_hyperlink_3186" Type="http://schemas.openxmlformats.org/officeDocument/2006/relationships/hyperlink" Target="https://www.diodes.com/part/view/DMT8012LFG" TargetMode="External"/><Relationship Id="rId_hyperlink_3187" Type="http://schemas.openxmlformats.org/officeDocument/2006/relationships/hyperlink" Target="https://www.diodes.com/datasheet/download/DMT8012LK3.pdf" TargetMode="External"/><Relationship Id="rId_hyperlink_3188" Type="http://schemas.openxmlformats.org/officeDocument/2006/relationships/hyperlink" Target="https://www.diodes.com/part/view/DMT8012LK3" TargetMode="External"/><Relationship Id="rId_hyperlink_3189" Type="http://schemas.openxmlformats.org/officeDocument/2006/relationships/hyperlink" Target="https://www.diodes.com/datasheet/download/DMT8012LPS.pdf" TargetMode="External"/><Relationship Id="rId_hyperlink_3190" Type="http://schemas.openxmlformats.org/officeDocument/2006/relationships/hyperlink" Target="https://www.diodes.com/part/view/DMT8012LPS" TargetMode="External"/><Relationship Id="rId_hyperlink_3191" Type="http://schemas.openxmlformats.org/officeDocument/2006/relationships/hyperlink" Target="https://www.diodes.com/datasheet/download/DMT8012LSS.pdf" TargetMode="External"/><Relationship Id="rId_hyperlink_3192" Type="http://schemas.openxmlformats.org/officeDocument/2006/relationships/hyperlink" Target="https://www.diodes.com/part/view/DMT8012LSS" TargetMode="External"/><Relationship Id="rId_hyperlink_3193" Type="http://schemas.openxmlformats.org/officeDocument/2006/relationships/hyperlink" Target="https://www.diodes.com/datasheet/download/DMT8020LDG.pdf" TargetMode="External"/><Relationship Id="rId_hyperlink_3194" Type="http://schemas.openxmlformats.org/officeDocument/2006/relationships/hyperlink" Target="https://www.diodes.com/part/view/DMT8020LDG" TargetMode="External"/><Relationship Id="rId_hyperlink_3195" Type="http://schemas.openxmlformats.org/officeDocument/2006/relationships/hyperlink" Target="https://www.diodes.com/datasheet/download/DMT8030LFDF.pdf" TargetMode="External"/><Relationship Id="rId_hyperlink_3196" Type="http://schemas.openxmlformats.org/officeDocument/2006/relationships/hyperlink" Target="https://www.diodes.com/part/view/DMT8030LFDF" TargetMode="External"/><Relationship Id="rId_hyperlink_3197" Type="http://schemas.openxmlformats.org/officeDocument/2006/relationships/hyperlink" Target="https://www.diodes.com/datasheet/download/DMTH10H003SPSW.pdf" TargetMode="External"/><Relationship Id="rId_hyperlink_3198" Type="http://schemas.openxmlformats.org/officeDocument/2006/relationships/hyperlink" Target="https://www.diodes.com/part/view/DMTH10H003SPSW" TargetMode="External"/><Relationship Id="rId_hyperlink_3199" Type="http://schemas.openxmlformats.org/officeDocument/2006/relationships/hyperlink" Target="https://www.diodes.com/datasheet/download/DMTH10H005LCT.pdf" TargetMode="External"/><Relationship Id="rId_hyperlink_3200" Type="http://schemas.openxmlformats.org/officeDocument/2006/relationships/hyperlink" Target="https://www.diodes.com/part/view/DMTH10H005LCT" TargetMode="External"/><Relationship Id="rId_hyperlink_3201" Type="http://schemas.openxmlformats.org/officeDocument/2006/relationships/hyperlink" Target="https://www.diodes.com/datasheet/download/DMTH10H005SCT.pdf" TargetMode="External"/><Relationship Id="rId_hyperlink_3202" Type="http://schemas.openxmlformats.org/officeDocument/2006/relationships/hyperlink" Target="https://www.diodes.com/part/view/DMTH10H005SCT" TargetMode="External"/><Relationship Id="rId_hyperlink_3203" Type="http://schemas.openxmlformats.org/officeDocument/2006/relationships/hyperlink" Target="https://www.diodes.com/datasheet/download/DMTH10H009LFG.pdf" TargetMode="External"/><Relationship Id="rId_hyperlink_3204" Type="http://schemas.openxmlformats.org/officeDocument/2006/relationships/hyperlink" Target="https://www.diodes.com/part/view/DMTH10H009LFG" TargetMode="External"/><Relationship Id="rId_hyperlink_3205" Type="http://schemas.openxmlformats.org/officeDocument/2006/relationships/hyperlink" Target="https://www.diodes.com/datasheet/download/DMTH10H009LFGQ.pdf" TargetMode="External"/><Relationship Id="rId_hyperlink_3206" Type="http://schemas.openxmlformats.org/officeDocument/2006/relationships/hyperlink" Target="https://www.diodes.com/part/view/DMTH10H009LFGQ" TargetMode="External"/><Relationship Id="rId_hyperlink_3207" Type="http://schemas.openxmlformats.org/officeDocument/2006/relationships/hyperlink" Target="https://www.diodes.com/datasheet/download/DMTH10H009LPS.pdf" TargetMode="External"/><Relationship Id="rId_hyperlink_3208" Type="http://schemas.openxmlformats.org/officeDocument/2006/relationships/hyperlink" Target="https://www.diodes.com/part/view/DMTH10H009LPS" TargetMode="External"/><Relationship Id="rId_hyperlink_3209" Type="http://schemas.openxmlformats.org/officeDocument/2006/relationships/hyperlink" Target="https://www.diodes.com/datasheet/download/DMTH10H009LPSQ.pdf" TargetMode="External"/><Relationship Id="rId_hyperlink_3210" Type="http://schemas.openxmlformats.org/officeDocument/2006/relationships/hyperlink" Target="https://www.diodes.com/part/view/DMTH10H009LPSQ" TargetMode="External"/><Relationship Id="rId_hyperlink_3211" Type="http://schemas.openxmlformats.org/officeDocument/2006/relationships/hyperlink" Target="https://www.diodes.com/datasheet/download/DMTH10H009SPS.pdf" TargetMode="External"/><Relationship Id="rId_hyperlink_3212" Type="http://schemas.openxmlformats.org/officeDocument/2006/relationships/hyperlink" Target="https://www.diodes.com/part/view/DMTH10H009SPS" TargetMode="External"/><Relationship Id="rId_hyperlink_3213" Type="http://schemas.openxmlformats.org/officeDocument/2006/relationships/hyperlink" Target="https://www.diodes.com/datasheet/download/DMTH10H009SPSQ.pdf" TargetMode="External"/><Relationship Id="rId_hyperlink_3214" Type="http://schemas.openxmlformats.org/officeDocument/2006/relationships/hyperlink" Target="https://www.diodes.com/part/view/DMTH10H009SPSQ" TargetMode="External"/><Relationship Id="rId_hyperlink_3215" Type="http://schemas.openxmlformats.org/officeDocument/2006/relationships/hyperlink" Target="https://www.diodes.com/datasheet/download/DMTH10H010LCT.pdf" TargetMode="External"/><Relationship Id="rId_hyperlink_3216" Type="http://schemas.openxmlformats.org/officeDocument/2006/relationships/hyperlink" Target="https://www.diodes.com/part/view/DMTH10H010LCT" TargetMode="External"/><Relationship Id="rId_hyperlink_3217" Type="http://schemas.openxmlformats.org/officeDocument/2006/relationships/hyperlink" Target="https://www.diodes.com/datasheet/download/DMTH10H010LCTB.pdf" TargetMode="External"/><Relationship Id="rId_hyperlink_3218" Type="http://schemas.openxmlformats.org/officeDocument/2006/relationships/hyperlink" Target="https://www.diodes.com/part/view/DMTH10H010LCTB" TargetMode="External"/><Relationship Id="rId_hyperlink_3219" Type="http://schemas.openxmlformats.org/officeDocument/2006/relationships/hyperlink" Target="https://www.diodes.com/datasheet/download/DMTH10H010LPS.pdf" TargetMode="External"/><Relationship Id="rId_hyperlink_3220" Type="http://schemas.openxmlformats.org/officeDocument/2006/relationships/hyperlink" Target="https://www.diodes.com/part/view/DMTH10H010LPS" TargetMode="External"/><Relationship Id="rId_hyperlink_3221" Type="http://schemas.openxmlformats.org/officeDocument/2006/relationships/hyperlink" Target="https://www.diodes.com/datasheet/download/DMTH10H010SCT.pdf" TargetMode="External"/><Relationship Id="rId_hyperlink_3222" Type="http://schemas.openxmlformats.org/officeDocument/2006/relationships/hyperlink" Target="https://www.diodes.com/part/view/DMTH10H010SCT" TargetMode="External"/><Relationship Id="rId_hyperlink_3223" Type="http://schemas.openxmlformats.org/officeDocument/2006/relationships/hyperlink" Target="https://www.diodes.com/datasheet/download/DMTH10H010SPS.pdf" TargetMode="External"/><Relationship Id="rId_hyperlink_3224" Type="http://schemas.openxmlformats.org/officeDocument/2006/relationships/hyperlink" Target="https://www.diodes.com/part/view/DMTH10H010SPS" TargetMode="External"/><Relationship Id="rId_hyperlink_3225" Type="http://schemas.openxmlformats.org/officeDocument/2006/relationships/hyperlink" Target="https://www.diodes.com/datasheet/download/DMTH10H010SPSQ.pdf" TargetMode="External"/><Relationship Id="rId_hyperlink_3226" Type="http://schemas.openxmlformats.org/officeDocument/2006/relationships/hyperlink" Target="https://www.diodes.com/part/view/DMTH10H010SPSQ" TargetMode="External"/><Relationship Id="rId_hyperlink_3227" Type="http://schemas.openxmlformats.org/officeDocument/2006/relationships/hyperlink" Target="https://www.diodes.com/datasheet/download/DMTH10H010SPSWQ.pdf" TargetMode="External"/><Relationship Id="rId_hyperlink_3228" Type="http://schemas.openxmlformats.org/officeDocument/2006/relationships/hyperlink" Target="https://www.diodes.com/part/view/DMTH10H010SPSWQ" TargetMode="External"/><Relationship Id="rId_hyperlink_3229" Type="http://schemas.openxmlformats.org/officeDocument/2006/relationships/hyperlink" Target="https://www.diodes.com/datasheet/download/DMTH10H015LK3.pdf" TargetMode="External"/><Relationship Id="rId_hyperlink_3230" Type="http://schemas.openxmlformats.org/officeDocument/2006/relationships/hyperlink" Target="https://www.diodes.com/part/view/DMTH10H015LK3" TargetMode="External"/><Relationship Id="rId_hyperlink_3231" Type="http://schemas.openxmlformats.org/officeDocument/2006/relationships/hyperlink" Target="https://www.diodes.com/datasheet/download/DMTH10H015LPS.pdf" TargetMode="External"/><Relationship Id="rId_hyperlink_3232" Type="http://schemas.openxmlformats.org/officeDocument/2006/relationships/hyperlink" Target="https://www.diodes.com/part/view/DMTH10H015LPS" TargetMode="External"/><Relationship Id="rId_hyperlink_3233" Type="http://schemas.openxmlformats.org/officeDocument/2006/relationships/hyperlink" Target="https://www.diodes.com/datasheet/download/DMTH10H015LPSWQ.pdf" TargetMode="External"/><Relationship Id="rId_hyperlink_3234" Type="http://schemas.openxmlformats.org/officeDocument/2006/relationships/hyperlink" Target="https://www.diodes.com/part/view/DMTH10H015LPSWQ" TargetMode="External"/><Relationship Id="rId_hyperlink_3235" Type="http://schemas.openxmlformats.org/officeDocument/2006/relationships/hyperlink" Target="https://www.diodes.com/datasheet/download/DMTH10H015SK3.pdf" TargetMode="External"/><Relationship Id="rId_hyperlink_3236" Type="http://schemas.openxmlformats.org/officeDocument/2006/relationships/hyperlink" Target="https://www.diodes.com/part/view/DMTH10H015SK3" TargetMode="External"/><Relationship Id="rId_hyperlink_3237" Type="http://schemas.openxmlformats.org/officeDocument/2006/relationships/hyperlink" Target="https://www.diodes.com/datasheet/download/DMTH10H015SK3Q.pdf" TargetMode="External"/><Relationship Id="rId_hyperlink_3238" Type="http://schemas.openxmlformats.org/officeDocument/2006/relationships/hyperlink" Target="https://www.diodes.com/part/view/DMTH10H015SK3Q" TargetMode="External"/><Relationship Id="rId_hyperlink_3239" Type="http://schemas.openxmlformats.org/officeDocument/2006/relationships/hyperlink" Target="https://www.diodes.com/datasheet/download/DMTH10H015SPS.pdf" TargetMode="External"/><Relationship Id="rId_hyperlink_3240" Type="http://schemas.openxmlformats.org/officeDocument/2006/relationships/hyperlink" Target="https://www.diodes.com/part/view/DMTH10H015SPS" TargetMode="External"/><Relationship Id="rId_hyperlink_3241" Type="http://schemas.openxmlformats.org/officeDocument/2006/relationships/hyperlink" Target="https://www.diodes.com/datasheet/download/DMTH10H015SPSQ.pdf" TargetMode="External"/><Relationship Id="rId_hyperlink_3242" Type="http://schemas.openxmlformats.org/officeDocument/2006/relationships/hyperlink" Target="https://www.diodes.com/part/view/DMTH10H015SPSQ" TargetMode="External"/><Relationship Id="rId_hyperlink_3243" Type="http://schemas.openxmlformats.org/officeDocument/2006/relationships/hyperlink" Target="https://www.diodes.com/datasheet/download/DMTH10H015SPSW.pdf" TargetMode="External"/><Relationship Id="rId_hyperlink_3244" Type="http://schemas.openxmlformats.org/officeDocument/2006/relationships/hyperlink" Target="https://www.diodes.com/part/view/DMTH10H015SPSW" TargetMode="External"/><Relationship Id="rId_hyperlink_3245" Type="http://schemas.openxmlformats.org/officeDocument/2006/relationships/hyperlink" Target="https://www.diodes.com/datasheet/download/DMTH10H015SPSWQ.pdf" TargetMode="External"/><Relationship Id="rId_hyperlink_3246" Type="http://schemas.openxmlformats.org/officeDocument/2006/relationships/hyperlink" Target="https://www.diodes.com/part/view/DMTH10H015SPSWQ" TargetMode="External"/><Relationship Id="rId_hyperlink_3247" Type="http://schemas.openxmlformats.org/officeDocument/2006/relationships/hyperlink" Target="https://www.diodes.com/datasheet/download/DMTH10H017LPD.pdf" TargetMode="External"/><Relationship Id="rId_hyperlink_3248" Type="http://schemas.openxmlformats.org/officeDocument/2006/relationships/hyperlink" Target="https://www.diodes.com/part/view/DMTH10H017LPD" TargetMode="External"/><Relationship Id="rId_hyperlink_3249" Type="http://schemas.openxmlformats.org/officeDocument/2006/relationships/hyperlink" Target="https://www.diodes.com/datasheet/download/DMTH10H017LPDQ.pdf" TargetMode="External"/><Relationship Id="rId_hyperlink_3250" Type="http://schemas.openxmlformats.org/officeDocument/2006/relationships/hyperlink" Target="https://www.diodes.com/part/view/DMTH10H017LPDQ" TargetMode="External"/><Relationship Id="rId_hyperlink_3251" Type="http://schemas.openxmlformats.org/officeDocument/2006/relationships/hyperlink" Target="https://www.diodes.com/datasheet/download/DMTH10H025LK3.pdf" TargetMode="External"/><Relationship Id="rId_hyperlink_3252" Type="http://schemas.openxmlformats.org/officeDocument/2006/relationships/hyperlink" Target="https://www.diodes.com/part/view/DMTH10H025LK3" TargetMode="External"/><Relationship Id="rId_hyperlink_3253" Type="http://schemas.openxmlformats.org/officeDocument/2006/relationships/hyperlink" Target="https://www.diodes.com/datasheet/download/DMTH10H025LK3Q.pdf" TargetMode="External"/><Relationship Id="rId_hyperlink_3254" Type="http://schemas.openxmlformats.org/officeDocument/2006/relationships/hyperlink" Target="https://www.diodes.com/part/view/DMTH10H025LK3Q" TargetMode="External"/><Relationship Id="rId_hyperlink_3255" Type="http://schemas.openxmlformats.org/officeDocument/2006/relationships/hyperlink" Target="https://www.diodes.com/datasheet/download/DMTH10H025LPDW.pdf" TargetMode="External"/><Relationship Id="rId_hyperlink_3256" Type="http://schemas.openxmlformats.org/officeDocument/2006/relationships/hyperlink" Target="https://www.diodes.com/part/view/DMTH10H025LPDW" TargetMode="External"/><Relationship Id="rId_hyperlink_3257" Type="http://schemas.openxmlformats.org/officeDocument/2006/relationships/hyperlink" Target="https://www.diodes.com/datasheet/download/DMTH10H025LPDWQ.pdf" TargetMode="External"/><Relationship Id="rId_hyperlink_3258" Type="http://schemas.openxmlformats.org/officeDocument/2006/relationships/hyperlink" Target="https://www.diodes.com/part/view/DMTH10H025LPDWQ" TargetMode="External"/><Relationship Id="rId_hyperlink_3259" Type="http://schemas.openxmlformats.org/officeDocument/2006/relationships/hyperlink" Target="https://www.diodes.com/datasheet/download/DMTH10H025LPS.pdf" TargetMode="External"/><Relationship Id="rId_hyperlink_3260" Type="http://schemas.openxmlformats.org/officeDocument/2006/relationships/hyperlink" Target="https://www.diodes.com/part/view/DMTH10H025LPS" TargetMode="External"/><Relationship Id="rId_hyperlink_3261" Type="http://schemas.openxmlformats.org/officeDocument/2006/relationships/hyperlink" Target="https://www.diodes.com/datasheet/download/DMTH10H025LPSQ+.pdf" TargetMode="External"/><Relationship Id="rId_hyperlink_3262" Type="http://schemas.openxmlformats.org/officeDocument/2006/relationships/hyperlink" Target="https://www.diodes.com/part/view/DMTH10H025LPSQ" TargetMode="External"/><Relationship Id="rId_hyperlink_3263" Type="http://schemas.openxmlformats.org/officeDocument/2006/relationships/hyperlink" Target="https://www.diodes.com/datasheet/download/DMTH10H025LPSWQ.pdf" TargetMode="External"/><Relationship Id="rId_hyperlink_3264" Type="http://schemas.openxmlformats.org/officeDocument/2006/relationships/hyperlink" Target="https://www.diodes.com/part/view/DMTH10H025LPSWQ" TargetMode="External"/><Relationship Id="rId_hyperlink_3265" Type="http://schemas.openxmlformats.org/officeDocument/2006/relationships/hyperlink" Target="https://www.diodes.com/datasheet/download/DMTH10H025SK3.pdf" TargetMode="External"/><Relationship Id="rId_hyperlink_3266" Type="http://schemas.openxmlformats.org/officeDocument/2006/relationships/hyperlink" Target="https://www.diodes.com/part/view/DMTH10H025SK3" TargetMode="External"/><Relationship Id="rId_hyperlink_3267" Type="http://schemas.openxmlformats.org/officeDocument/2006/relationships/hyperlink" Target="https://www.diodes.com/datasheet/download/DMTH10H032LDVW.pdf" TargetMode="External"/><Relationship Id="rId_hyperlink_3268" Type="http://schemas.openxmlformats.org/officeDocument/2006/relationships/hyperlink" Target="https://www.diodes.com/part/view/DMTH10H032LDVW" TargetMode="External"/><Relationship Id="rId_hyperlink_3269" Type="http://schemas.openxmlformats.org/officeDocument/2006/relationships/hyperlink" Target="https://www.diodes.com/datasheet/download/DMTH10H032LDVWQ.pdf" TargetMode="External"/><Relationship Id="rId_hyperlink_3270" Type="http://schemas.openxmlformats.org/officeDocument/2006/relationships/hyperlink" Target="https://www.diodes.com/part/view/DMTH10H032LDVWQ" TargetMode="External"/><Relationship Id="rId_hyperlink_3271" Type="http://schemas.openxmlformats.org/officeDocument/2006/relationships/hyperlink" Target="https://www.diodes.com/datasheet/download/DMTH10H032LFVW.pdf" TargetMode="External"/><Relationship Id="rId_hyperlink_3272" Type="http://schemas.openxmlformats.org/officeDocument/2006/relationships/hyperlink" Target="https://www.diodes.com/part/view/DMTH10H032LFVW" TargetMode="External"/><Relationship Id="rId_hyperlink_3273" Type="http://schemas.openxmlformats.org/officeDocument/2006/relationships/hyperlink" Target="https://www.diodes.com/datasheet/download/DMTH10H032LFVWQ.pdf" TargetMode="External"/><Relationship Id="rId_hyperlink_3274" Type="http://schemas.openxmlformats.org/officeDocument/2006/relationships/hyperlink" Target="https://www.diodes.com/part/view/DMTH10H032LFVWQ" TargetMode="External"/><Relationship Id="rId_hyperlink_3275" Type="http://schemas.openxmlformats.org/officeDocument/2006/relationships/hyperlink" Target="https://www.diodes.com/datasheet/download/DMTH10H032LPDW.pdf" TargetMode="External"/><Relationship Id="rId_hyperlink_3276" Type="http://schemas.openxmlformats.org/officeDocument/2006/relationships/hyperlink" Target="https://www.diodes.com/part/view/DMTH10H032LPDW" TargetMode="External"/><Relationship Id="rId_hyperlink_3277" Type="http://schemas.openxmlformats.org/officeDocument/2006/relationships/hyperlink" Target="https://www.diodes.com/datasheet/download/DMTH10H032LPDWQ.pdf" TargetMode="External"/><Relationship Id="rId_hyperlink_3278" Type="http://schemas.openxmlformats.org/officeDocument/2006/relationships/hyperlink" Target="https://www.diodes.com/part/view/DMTH10H032LPDWQ" TargetMode="External"/><Relationship Id="rId_hyperlink_3279" Type="http://schemas.openxmlformats.org/officeDocument/2006/relationships/hyperlink" Target="https://www.diodes.com/datasheet/download/DMTH10H032LPSW.pdf" TargetMode="External"/><Relationship Id="rId_hyperlink_3280" Type="http://schemas.openxmlformats.org/officeDocument/2006/relationships/hyperlink" Target="https://www.diodes.com/part/view/DMTH10H032LPSW" TargetMode="External"/><Relationship Id="rId_hyperlink_3281" Type="http://schemas.openxmlformats.org/officeDocument/2006/relationships/hyperlink" Target="https://www.diodes.com/datasheet/download/DMTH10H032LPSWQ.pdf" TargetMode="External"/><Relationship Id="rId_hyperlink_3282" Type="http://schemas.openxmlformats.org/officeDocument/2006/relationships/hyperlink" Target="https://www.diodes.com/part/view/DMTH10H032LPSWQ" TargetMode="External"/><Relationship Id="rId_hyperlink_3283" Type="http://schemas.openxmlformats.org/officeDocument/2006/relationships/hyperlink" Target="https://www.diodes.com/datasheet/download/DMTH10H032SDVW.pdf" TargetMode="External"/><Relationship Id="rId_hyperlink_3284" Type="http://schemas.openxmlformats.org/officeDocument/2006/relationships/hyperlink" Target="https://www.diodes.com/part/view/DMTH10H032SDVW" TargetMode="External"/><Relationship Id="rId_hyperlink_3285" Type="http://schemas.openxmlformats.org/officeDocument/2006/relationships/hyperlink" Target="https://www.diodes.com/datasheet/download/DMTH10H032SDVWQ.pdf" TargetMode="External"/><Relationship Id="rId_hyperlink_3286" Type="http://schemas.openxmlformats.org/officeDocument/2006/relationships/hyperlink" Target="https://www.diodes.com/part/view/DMTH10H032SDVWQ" TargetMode="External"/><Relationship Id="rId_hyperlink_3287" Type="http://schemas.openxmlformats.org/officeDocument/2006/relationships/hyperlink" Target="https://www.diodes.com/datasheet/download/DMTH10H032SPSW.pdf" TargetMode="External"/><Relationship Id="rId_hyperlink_3288" Type="http://schemas.openxmlformats.org/officeDocument/2006/relationships/hyperlink" Target="https://www.diodes.com/part/view/DMTH10H032SPSW" TargetMode="External"/><Relationship Id="rId_hyperlink_3289" Type="http://schemas.openxmlformats.org/officeDocument/2006/relationships/hyperlink" Target="https://www.diodes.com/datasheet/download/DMTH10H032SPSWQ.pdf" TargetMode="External"/><Relationship Id="rId_hyperlink_3290" Type="http://schemas.openxmlformats.org/officeDocument/2006/relationships/hyperlink" Target="https://www.diodes.com/part/view/DMTH10H032SPSWQ" TargetMode="External"/><Relationship Id="rId_hyperlink_3291" Type="http://schemas.openxmlformats.org/officeDocument/2006/relationships/hyperlink" Target="https://www.diodes.com/datasheet/download/DMTH10H038SPDW.pdf" TargetMode="External"/><Relationship Id="rId_hyperlink_3292" Type="http://schemas.openxmlformats.org/officeDocument/2006/relationships/hyperlink" Target="https://www.diodes.com/part/view/DMTH10H038SPDW" TargetMode="External"/><Relationship Id="rId_hyperlink_3293" Type="http://schemas.openxmlformats.org/officeDocument/2006/relationships/hyperlink" Target="https://www.diodes.com/datasheet/download/DMTH10H038SPDWQ.pdf" TargetMode="External"/><Relationship Id="rId_hyperlink_3294" Type="http://schemas.openxmlformats.org/officeDocument/2006/relationships/hyperlink" Target="https://www.diodes.com/part/view/DMTH10H038SPDWQ" TargetMode="External"/><Relationship Id="rId_hyperlink_3295" Type="http://schemas.openxmlformats.org/officeDocument/2006/relationships/hyperlink" Target="https://www.diodes.com/datasheet/download/DMTH10H071LFDFW.pdf" TargetMode="External"/><Relationship Id="rId_hyperlink_3296" Type="http://schemas.openxmlformats.org/officeDocument/2006/relationships/hyperlink" Target="https://www.diodes.com/part/view/DMTH10H071LFDFW" TargetMode="External"/><Relationship Id="rId_hyperlink_3297" Type="http://schemas.openxmlformats.org/officeDocument/2006/relationships/hyperlink" Target="https://www.diodes.com/datasheet/download/DMTH10H071LFDFWQ.pdf" TargetMode="External"/><Relationship Id="rId_hyperlink_3298" Type="http://schemas.openxmlformats.org/officeDocument/2006/relationships/hyperlink" Target="https://www.diodes.com/part/view/DMTH10H071LFDFWQ" TargetMode="External"/><Relationship Id="rId_hyperlink_3299" Type="http://schemas.openxmlformats.org/officeDocument/2006/relationships/hyperlink" Target="https://www.diodes.com/datasheet/download/DMTH10H072LPS.pdf" TargetMode="External"/><Relationship Id="rId_hyperlink_3300" Type="http://schemas.openxmlformats.org/officeDocument/2006/relationships/hyperlink" Target="https://www.diodes.com/part/view/DMTH10H072LPS" TargetMode="External"/><Relationship Id="rId_hyperlink_3301" Type="http://schemas.openxmlformats.org/officeDocument/2006/relationships/hyperlink" Target="https://www.diodes.com/datasheet/download/DMTH10H1M7STLW.pdf" TargetMode="External"/><Relationship Id="rId_hyperlink_3302" Type="http://schemas.openxmlformats.org/officeDocument/2006/relationships/hyperlink" Target="https://www.diodes.com/part/view/DMTH10H1M7STLW" TargetMode="External"/><Relationship Id="rId_hyperlink_3303" Type="http://schemas.openxmlformats.org/officeDocument/2006/relationships/hyperlink" Target="https://www.diodes.com/datasheet/download/DMTH10H1M7STLWQ.pdf" TargetMode="External"/><Relationship Id="rId_hyperlink_3304" Type="http://schemas.openxmlformats.org/officeDocument/2006/relationships/hyperlink" Target="https://www.diodes.com/part/view/DMTH10H1M7STLWQ" TargetMode="External"/><Relationship Id="rId_hyperlink_3305" Type="http://schemas.openxmlformats.org/officeDocument/2006/relationships/hyperlink" Target="https://www.diodes.com/datasheet/download/DMTH10H2M2LPSW.pdf" TargetMode="External"/><Relationship Id="rId_hyperlink_3306" Type="http://schemas.openxmlformats.org/officeDocument/2006/relationships/hyperlink" Target="https://www.diodes.com/part/view/DMTH10H2M2LPSW" TargetMode="External"/><Relationship Id="rId_hyperlink_3307" Type="http://schemas.openxmlformats.org/officeDocument/2006/relationships/hyperlink" Target="https://www.diodes.com/datasheet/download/DMTH10H2M2LPSWQ.pdf" TargetMode="External"/><Relationship Id="rId_hyperlink_3308" Type="http://schemas.openxmlformats.org/officeDocument/2006/relationships/hyperlink" Target="https://www.diodes.com/part/view/DMTH10H2M2LPSWQ" TargetMode="External"/><Relationship Id="rId_hyperlink_3309" Type="http://schemas.openxmlformats.org/officeDocument/2006/relationships/hyperlink" Target="https://www.diodes.com/datasheet/download/DMTH10H2M5STLW.pdf" TargetMode="External"/><Relationship Id="rId_hyperlink_3310" Type="http://schemas.openxmlformats.org/officeDocument/2006/relationships/hyperlink" Target="https://www.diodes.com/part/view/DMTH10H2M5STLW" TargetMode="External"/><Relationship Id="rId_hyperlink_3311" Type="http://schemas.openxmlformats.org/officeDocument/2006/relationships/hyperlink" Target="https://www.diodes.com/datasheet/download/DMTH10H2M5STLWQ.pdf" TargetMode="External"/><Relationship Id="rId_hyperlink_3312" Type="http://schemas.openxmlformats.org/officeDocument/2006/relationships/hyperlink" Target="https://www.diodes.com/part/view/DMTH10H2M5STLWQ" TargetMode="External"/><Relationship Id="rId_hyperlink_3313" Type="http://schemas.openxmlformats.org/officeDocument/2006/relationships/hyperlink" Target="https://www.diodes.com/datasheet/download/DMTH10H4M5LPS.pdf" TargetMode="External"/><Relationship Id="rId_hyperlink_3314" Type="http://schemas.openxmlformats.org/officeDocument/2006/relationships/hyperlink" Target="https://www.diodes.com/part/view/DMTH10H4M5LPS" TargetMode="External"/><Relationship Id="rId_hyperlink_3315" Type="http://schemas.openxmlformats.org/officeDocument/2006/relationships/hyperlink" Target="https://www.diodes.com/datasheet/download/DMTH10H4M5LPSW.pdf" TargetMode="External"/><Relationship Id="rId_hyperlink_3316" Type="http://schemas.openxmlformats.org/officeDocument/2006/relationships/hyperlink" Target="https://www.diodes.com/part/view/DMTH10H4M5LPSW" TargetMode="External"/><Relationship Id="rId_hyperlink_3317" Type="http://schemas.openxmlformats.org/officeDocument/2006/relationships/hyperlink" Target="https://www.diodes.com/datasheet/download/DMTH10H4M5LPSWQ.pdf" TargetMode="External"/><Relationship Id="rId_hyperlink_3318" Type="http://schemas.openxmlformats.org/officeDocument/2006/relationships/hyperlink" Target="https://www.diodes.com/part/view/DMTH10H4M5LPSWQ" TargetMode="External"/><Relationship Id="rId_hyperlink_3319" Type="http://schemas.openxmlformats.org/officeDocument/2006/relationships/hyperlink" Target="https://www.diodes.com/datasheet/download/DMTH10H4M6SPS.pdf" TargetMode="External"/><Relationship Id="rId_hyperlink_3320" Type="http://schemas.openxmlformats.org/officeDocument/2006/relationships/hyperlink" Target="https://www.diodes.com/part/view/DMTH10H4M6SPS" TargetMode="External"/><Relationship Id="rId_hyperlink_3321" Type="http://schemas.openxmlformats.org/officeDocument/2006/relationships/hyperlink" Target="https://www.diodes.com/datasheet/download/DMTH10H4M6SPSW.pdf" TargetMode="External"/><Relationship Id="rId_hyperlink_3322" Type="http://schemas.openxmlformats.org/officeDocument/2006/relationships/hyperlink" Target="https://www.diodes.com/part/view/DMTH10H4M6SPSW" TargetMode="External"/><Relationship Id="rId_hyperlink_3323" Type="http://schemas.openxmlformats.org/officeDocument/2006/relationships/hyperlink" Target="https://www.diodes.com/datasheet/download/DMTH10H4M6SPSWQ.pdf" TargetMode="External"/><Relationship Id="rId_hyperlink_3324" Type="http://schemas.openxmlformats.org/officeDocument/2006/relationships/hyperlink" Target="https://www.diodes.com/part/view/DMTH10H4M6SPSWQ" TargetMode="External"/><Relationship Id="rId_hyperlink_3325" Type="http://schemas.openxmlformats.org/officeDocument/2006/relationships/hyperlink" Target="https://www.diodes.com/datasheet/download/DMTH12H007SK3.pdf" TargetMode="External"/><Relationship Id="rId_hyperlink_3326" Type="http://schemas.openxmlformats.org/officeDocument/2006/relationships/hyperlink" Target="https://www.diodes.com/part/view/DMTH12H007SK3" TargetMode="External"/><Relationship Id="rId_hyperlink_3327" Type="http://schemas.openxmlformats.org/officeDocument/2006/relationships/hyperlink" Target="https://www.diodes.com/datasheet/download/DMTH12H007SPS.pdf" TargetMode="External"/><Relationship Id="rId_hyperlink_3328" Type="http://schemas.openxmlformats.org/officeDocument/2006/relationships/hyperlink" Target="https://www.diodes.com/part/view/DMTH12H007SPS" TargetMode="External"/><Relationship Id="rId_hyperlink_3329" Type="http://schemas.openxmlformats.org/officeDocument/2006/relationships/hyperlink" Target="https://www.diodes.com/datasheet/download/DMTH12H007SPSW.pdf" TargetMode="External"/><Relationship Id="rId_hyperlink_3330" Type="http://schemas.openxmlformats.org/officeDocument/2006/relationships/hyperlink" Target="https://www.diodes.com/part/view/DMTH12H007SPSW" TargetMode="External"/><Relationship Id="rId_hyperlink_3331" Type="http://schemas.openxmlformats.org/officeDocument/2006/relationships/hyperlink" Target="https://www.diodes.com/datasheet/download/DMTH12H007SPSWQ.pdf" TargetMode="External"/><Relationship Id="rId_hyperlink_3332" Type="http://schemas.openxmlformats.org/officeDocument/2006/relationships/hyperlink" Target="https://www.diodes.com/part/view/DMTH12H007SPSWQ" TargetMode="External"/><Relationship Id="rId_hyperlink_3333" Type="http://schemas.openxmlformats.org/officeDocument/2006/relationships/hyperlink" Target="https://www.diodes.com/datasheet/download/DMTH15H017LPSW.pdf" TargetMode="External"/><Relationship Id="rId_hyperlink_3334" Type="http://schemas.openxmlformats.org/officeDocument/2006/relationships/hyperlink" Target="https://www.diodes.com/part/view/DMTH15H017LPSW" TargetMode="External"/><Relationship Id="rId_hyperlink_3335" Type="http://schemas.openxmlformats.org/officeDocument/2006/relationships/hyperlink" Target="https://www.diodes.com/datasheet/download/DMTH15H017LPSWQ.pdf" TargetMode="External"/><Relationship Id="rId_hyperlink_3336" Type="http://schemas.openxmlformats.org/officeDocument/2006/relationships/hyperlink" Target="https://www.diodes.com/part/view/DMTH15H017LPSWQ" TargetMode="External"/><Relationship Id="rId_hyperlink_3337" Type="http://schemas.openxmlformats.org/officeDocument/2006/relationships/hyperlink" Target="https://www.diodes.com/datasheet/download/DMTH15H017SPS.pdf" TargetMode="External"/><Relationship Id="rId_hyperlink_3338" Type="http://schemas.openxmlformats.org/officeDocument/2006/relationships/hyperlink" Target="https://www.diodes.com/part/view/DMTH15H017SPS" TargetMode="External"/><Relationship Id="rId_hyperlink_3339" Type="http://schemas.openxmlformats.org/officeDocument/2006/relationships/hyperlink" Target="https://www.diodes.com/datasheet/download/DMTH15H017SPSW.pdf" TargetMode="External"/><Relationship Id="rId_hyperlink_3340" Type="http://schemas.openxmlformats.org/officeDocument/2006/relationships/hyperlink" Target="https://www.diodes.com/part/view/DMTH15H017SPSW" TargetMode="External"/><Relationship Id="rId_hyperlink_3341" Type="http://schemas.openxmlformats.org/officeDocument/2006/relationships/hyperlink" Target="https://www.diodes.com/datasheet/download/DMTH15H017SPSWQ.pdf" TargetMode="External"/><Relationship Id="rId_hyperlink_3342" Type="http://schemas.openxmlformats.org/officeDocument/2006/relationships/hyperlink" Target="https://www.diodes.com/part/view/DMTH15H017SPSWQ" TargetMode="External"/><Relationship Id="rId_hyperlink_3343" Type="http://schemas.openxmlformats.org/officeDocument/2006/relationships/hyperlink" Target="https://www.diodes.com/datasheet/download/DMTH15H053SPSW.pdf" TargetMode="External"/><Relationship Id="rId_hyperlink_3344" Type="http://schemas.openxmlformats.org/officeDocument/2006/relationships/hyperlink" Target="https://www.diodes.com/part/view/DMTH15H053SPSW" TargetMode="External"/><Relationship Id="rId_hyperlink_3345" Type="http://schemas.openxmlformats.org/officeDocument/2006/relationships/hyperlink" Target="https://www.diodes.com/datasheet/download/DMTH15H053SPSWQ.pdf" TargetMode="External"/><Relationship Id="rId_hyperlink_3346" Type="http://schemas.openxmlformats.org/officeDocument/2006/relationships/hyperlink" Target="https://www.diodes.com/part/view/DMTH15H053SPSWQ" TargetMode="External"/><Relationship Id="rId_hyperlink_3347" Type="http://schemas.openxmlformats.org/officeDocument/2006/relationships/hyperlink" Target="https://www.diodes.com/datasheet/download/DMTH3002LK3.pdf" TargetMode="External"/><Relationship Id="rId_hyperlink_3348" Type="http://schemas.openxmlformats.org/officeDocument/2006/relationships/hyperlink" Target="https://www.diodes.com/part/view/DMTH3002LK3" TargetMode="External"/><Relationship Id="rId_hyperlink_3349" Type="http://schemas.openxmlformats.org/officeDocument/2006/relationships/hyperlink" Target="https://www.diodes.com/datasheet/download/DMTH3002LPS.pdf" TargetMode="External"/><Relationship Id="rId_hyperlink_3350" Type="http://schemas.openxmlformats.org/officeDocument/2006/relationships/hyperlink" Target="https://www.diodes.com/part/view/DMTH3002LPS" TargetMode="External"/><Relationship Id="rId_hyperlink_3351" Type="http://schemas.openxmlformats.org/officeDocument/2006/relationships/hyperlink" Target="https://www.diodes.com/datasheet/download/DMTH3004LFG.pdf" TargetMode="External"/><Relationship Id="rId_hyperlink_3352" Type="http://schemas.openxmlformats.org/officeDocument/2006/relationships/hyperlink" Target="https://www.diodes.com/part/view/DMTH3004LFG" TargetMode="External"/><Relationship Id="rId_hyperlink_3353" Type="http://schemas.openxmlformats.org/officeDocument/2006/relationships/hyperlink" Target="https://www.diodes.com/datasheet/download/DMTH3004LFGQ.pdf" TargetMode="External"/><Relationship Id="rId_hyperlink_3354" Type="http://schemas.openxmlformats.org/officeDocument/2006/relationships/hyperlink" Target="https://www.diodes.com/part/view/DMTH3004LFGQ" TargetMode="External"/><Relationship Id="rId_hyperlink_3355" Type="http://schemas.openxmlformats.org/officeDocument/2006/relationships/hyperlink" Target="https://www.diodes.com/datasheet/download/DMTH3004LK3.pdf" TargetMode="External"/><Relationship Id="rId_hyperlink_3356" Type="http://schemas.openxmlformats.org/officeDocument/2006/relationships/hyperlink" Target="https://www.diodes.com/part/view/DMTH3004LK3" TargetMode="External"/><Relationship Id="rId_hyperlink_3357" Type="http://schemas.openxmlformats.org/officeDocument/2006/relationships/hyperlink" Target="https://www.diodes.com/datasheet/download/DMTH3004LK3Q.pdf" TargetMode="External"/><Relationship Id="rId_hyperlink_3358" Type="http://schemas.openxmlformats.org/officeDocument/2006/relationships/hyperlink" Target="https://www.diodes.com/part/view/DMTH3004LK3Q" TargetMode="External"/><Relationship Id="rId_hyperlink_3359" Type="http://schemas.openxmlformats.org/officeDocument/2006/relationships/hyperlink" Target="https://www.diodes.com/datasheet/download/DMTH3004LPS.pdf" TargetMode="External"/><Relationship Id="rId_hyperlink_3360" Type="http://schemas.openxmlformats.org/officeDocument/2006/relationships/hyperlink" Target="https://www.diodes.com/part/view/DMTH3004LPS" TargetMode="External"/><Relationship Id="rId_hyperlink_3361" Type="http://schemas.openxmlformats.org/officeDocument/2006/relationships/hyperlink" Target="https://www.diodes.com/datasheet/download/DMTH3004LPSQ.pdf" TargetMode="External"/><Relationship Id="rId_hyperlink_3362" Type="http://schemas.openxmlformats.org/officeDocument/2006/relationships/hyperlink" Target="https://www.diodes.com/part/view/DMTH3004LPSQ" TargetMode="External"/><Relationship Id="rId_hyperlink_3363" Type="http://schemas.openxmlformats.org/officeDocument/2006/relationships/hyperlink" Target="https://www.diodes.com/datasheet/download/DMTH31M7LPSQ.pdf" TargetMode="External"/><Relationship Id="rId_hyperlink_3364" Type="http://schemas.openxmlformats.org/officeDocument/2006/relationships/hyperlink" Target="https://www.diodes.com/part/view/DMTH31M7LPSQ" TargetMode="External"/><Relationship Id="rId_hyperlink_3365" Type="http://schemas.openxmlformats.org/officeDocument/2006/relationships/hyperlink" Target="https://www.diodes.com/datasheet/download/DMTH32M5LPS.pdf" TargetMode="External"/><Relationship Id="rId_hyperlink_3366" Type="http://schemas.openxmlformats.org/officeDocument/2006/relationships/hyperlink" Target="https://www.diodes.com/part/view/DMTH32M5LPS" TargetMode="External"/><Relationship Id="rId_hyperlink_3367" Type="http://schemas.openxmlformats.org/officeDocument/2006/relationships/hyperlink" Target="https://www.diodes.com/datasheet/download/DMTH32M5LPSQ.pdf" TargetMode="External"/><Relationship Id="rId_hyperlink_3368" Type="http://schemas.openxmlformats.org/officeDocument/2006/relationships/hyperlink" Target="https://www.diodes.com/part/view/DMTH32M5LPSQ" TargetMode="External"/><Relationship Id="rId_hyperlink_3369" Type="http://schemas.openxmlformats.org/officeDocument/2006/relationships/hyperlink" Target="https://www.diodes.com/datasheet/download/DMTH3M70LPSW.pdf" TargetMode="External"/><Relationship Id="rId_hyperlink_3370" Type="http://schemas.openxmlformats.org/officeDocument/2006/relationships/hyperlink" Target="https://www.diodes.com/part/view/DMTH3M70LPSW" TargetMode="External"/><Relationship Id="rId_hyperlink_3371" Type="http://schemas.openxmlformats.org/officeDocument/2006/relationships/hyperlink" Target="https://www.diodes.com/datasheet/download/DMTH3M70LPSWQ.pdf" TargetMode="External"/><Relationship Id="rId_hyperlink_3372" Type="http://schemas.openxmlformats.org/officeDocument/2006/relationships/hyperlink" Target="https://www.diodes.com/part/view/DMTH3M70LPSWQ" TargetMode="External"/><Relationship Id="rId_hyperlink_3373" Type="http://schemas.openxmlformats.org/officeDocument/2006/relationships/hyperlink" Target="https://www.diodes.com/datasheet/download/DMTH4001STLW.pdf" TargetMode="External"/><Relationship Id="rId_hyperlink_3374" Type="http://schemas.openxmlformats.org/officeDocument/2006/relationships/hyperlink" Target="https://www.diodes.com/part/view/DMTH4001STLW" TargetMode="External"/><Relationship Id="rId_hyperlink_3375" Type="http://schemas.openxmlformats.org/officeDocument/2006/relationships/hyperlink" Target="https://www.diodes.com/datasheet/download/DMTH4001STLWQ.pdf" TargetMode="External"/><Relationship Id="rId_hyperlink_3376" Type="http://schemas.openxmlformats.org/officeDocument/2006/relationships/hyperlink" Target="https://www.diodes.com/part/view/DMTH4001STLWQ" TargetMode="External"/><Relationship Id="rId_hyperlink_3377" Type="http://schemas.openxmlformats.org/officeDocument/2006/relationships/hyperlink" Target="https://www.diodes.com/datasheet/download/DMTH4002SCTB.pdf" TargetMode="External"/><Relationship Id="rId_hyperlink_3378" Type="http://schemas.openxmlformats.org/officeDocument/2006/relationships/hyperlink" Target="https://www.diodes.com/part/view/DMTH4002SCTB" TargetMode="External"/><Relationship Id="rId_hyperlink_3379" Type="http://schemas.openxmlformats.org/officeDocument/2006/relationships/hyperlink" Target="https://www.diodes.com/datasheet/download/DMTH4002SCTBQ.pdf" TargetMode="External"/><Relationship Id="rId_hyperlink_3380" Type="http://schemas.openxmlformats.org/officeDocument/2006/relationships/hyperlink" Target="https://www.diodes.com/part/view/DMTH4002SCTBQ" TargetMode="External"/><Relationship Id="rId_hyperlink_3381" Type="http://schemas.openxmlformats.org/officeDocument/2006/relationships/hyperlink" Target="https://www.diodes.com/datasheet/download/DMTH4004LK3.pdf" TargetMode="External"/><Relationship Id="rId_hyperlink_3382" Type="http://schemas.openxmlformats.org/officeDocument/2006/relationships/hyperlink" Target="https://www.diodes.com/part/view/DMTH4004LK3" TargetMode="External"/><Relationship Id="rId_hyperlink_3383" Type="http://schemas.openxmlformats.org/officeDocument/2006/relationships/hyperlink" Target="https://www.diodes.com/datasheet/download/DMTH4004LK3Q.pdf" TargetMode="External"/><Relationship Id="rId_hyperlink_3384" Type="http://schemas.openxmlformats.org/officeDocument/2006/relationships/hyperlink" Target="https://www.diodes.com/part/view/DMTH4004LK3Q" TargetMode="External"/><Relationship Id="rId_hyperlink_3385" Type="http://schemas.openxmlformats.org/officeDocument/2006/relationships/hyperlink" Target="https://www.diodes.com/datasheet/download/DMTH4004LPS.pdf" TargetMode="External"/><Relationship Id="rId_hyperlink_3386" Type="http://schemas.openxmlformats.org/officeDocument/2006/relationships/hyperlink" Target="https://www.diodes.com/part/view/DMTH4004LPS" TargetMode="External"/><Relationship Id="rId_hyperlink_3387" Type="http://schemas.openxmlformats.org/officeDocument/2006/relationships/hyperlink" Target="https://www.diodes.com/datasheet/download/DMTH4004LPSQ.pdf" TargetMode="External"/><Relationship Id="rId_hyperlink_3388" Type="http://schemas.openxmlformats.org/officeDocument/2006/relationships/hyperlink" Target="https://www.diodes.com/part/view/DMTH4004LPSQ" TargetMode="External"/><Relationship Id="rId_hyperlink_3389" Type="http://schemas.openxmlformats.org/officeDocument/2006/relationships/hyperlink" Target="https://www.diodes.com/datasheet/download/DMTH4004LPSWQ.pdf" TargetMode="External"/><Relationship Id="rId_hyperlink_3390" Type="http://schemas.openxmlformats.org/officeDocument/2006/relationships/hyperlink" Target="https://www.diodes.com/part/view/DMTH4004LPSWQ" TargetMode="External"/><Relationship Id="rId_hyperlink_3391" Type="http://schemas.openxmlformats.org/officeDocument/2006/relationships/hyperlink" Target="https://www.diodes.com/datasheet/download/DMTH4004SCTB.pdf" TargetMode="External"/><Relationship Id="rId_hyperlink_3392" Type="http://schemas.openxmlformats.org/officeDocument/2006/relationships/hyperlink" Target="https://www.diodes.com/part/view/DMTH4004SCTB" TargetMode="External"/><Relationship Id="rId_hyperlink_3393" Type="http://schemas.openxmlformats.org/officeDocument/2006/relationships/hyperlink" Target="https://www.diodes.com/datasheet/download/DMTH4004SCTBQ.pdf" TargetMode="External"/><Relationship Id="rId_hyperlink_3394" Type="http://schemas.openxmlformats.org/officeDocument/2006/relationships/hyperlink" Target="https://www.diodes.com/part/view/DMTH4004SCTBQ" TargetMode="External"/><Relationship Id="rId_hyperlink_3395" Type="http://schemas.openxmlformats.org/officeDocument/2006/relationships/hyperlink" Target="https://www.diodes.com/datasheet/download/DMTH4004SK3.pdf" TargetMode="External"/><Relationship Id="rId_hyperlink_3396" Type="http://schemas.openxmlformats.org/officeDocument/2006/relationships/hyperlink" Target="https://www.diodes.com/part/view/DMTH4004SK3" TargetMode="External"/><Relationship Id="rId_hyperlink_3397" Type="http://schemas.openxmlformats.org/officeDocument/2006/relationships/hyperlink" Target="https://www.diodes.com/datasheet/download/DMTH4004SK3Q.pdf" TargetMode="External"/><Relationship Id="rId_hyperlink_3398" Type="http://schemas.openxmlformats.org/officeDocument/2006/relationships/hyperlink" Target="https://www.diodes.com/part/view/DMTH4004SK3Q" TargetMode="External"/><Relationship Id="rId_hyperlink_3399" Type="http://schemas.openxmlformats.org/officeDocument/2006/relationships/hyperlink" Target="https://www.diodes.com/datasheet/download/DMTH4004SPS.pdf" TargetMode="External"/><Relationship Id="rId_hyperlink_3400" Type="http://schemas.openxmlformats.org/officeDocument/2006/relationships/hyperlink" Target="https://www.diodes.com/part/view/DMTH4004SPS" TargetMode="External"/><Relationship Id="rId_hyperlink_3401" Type="http://schemas.openxmlformats.org/officeDocument/2006/relationships/hyperlink" Target="https://www.diodes.com/datasheet/download/DMTH4004SPSQ.pdf" TargetMode="External"/><Relationship Id="rId_hyperlink_3402" Type="http://schemas.openxmlformats.org/officeDocument/2006/relationships/hyperlink" Target="https://www.diodes.com/part/view/DMTH4004SPSQ" TargetMode="External"/><Relationship Id="rId_hyperlink_3403" Type="http://schemas.openxmlformats.org/officeDocument/2006/relationships/hyperlink" Target="https://www.diodes.com/datasheet/download/DMTH4004SPSWQ.pdf" TargetMode="External"/><Relationship Id="rId_hyperlink_3404" Type="http://schemas.openxmlformats.org/officeDocument/2006/relationships/hyperlink" Target="https://www.diodes.com/part/view/DMTH4004SPSWQ" TargetMode="External"/><Relationship Id="rId_hyperlink_3405" Type="http://schemas.openxmlformats.org/officeDocument/2006/relationships/hyperlink" Target="https://www.diodes.com/datasheet/download/DMTH4005SCT.pdf" TargetMode="External"/><Relationship Id="rId_hyperlink_3406" Type="http://schemas.openxmlformats.org/officeDocument/2006/relationships/hyperlink" Target="https://www.diodes.com/part/view/DMTH4005SCT" TargetMode="External"/><Relationship Id="rId_hyperlink_3407" Type="http://schemas.openxmlformats.org/officeDocument/2006/relationships/hyperlink" Target="https://www.diodes.com/datasheet/download/DMTH4005SK3.pdf" TargetMode="External"/><Relationship Id="rId_hyperlink_3408" Type="http://schemas.openxmlformats.org/officeDocument/2006/relationships/hyperlink" Target="https://www.diodes.com/part/view/DMTH4005SK3" TargetMode="External"/><Relationship Id="rId_hyperlink_3409" Type="http://schemas.openxmlformats.org/officeDocument/2006/relationships/hyperlink" Target="https://www.diodes.com/datasheet/download/DMTH4005SK3Q.pdf" TargetMode="External"/><Relationship Id="rId_hyperlink_3410" Type="http://schemas.openxmlformats.org/officeDocument/2006/relationships/hyperlink" Target="https://www.diodes.com/part/view/DMTH4005SK3Q" TargetMode="External"/><Relationship Id="rId_hyperlink_3411" Type="http://schemas.openxmlformats.org/officeDocument/2006/relationships/hyperlink" Target="https://www.diodes.com/datasheet/download/DMTH4005SPS.pdf" TargetMode="External"/><Relationship Id="rId_hyperlink_3412" Type="http://schemas.openxmlformats.org/officeDocument/2006/relationships/hyperlink" Target="https://www.diodes.com/part/view/DMTH4005SPS" TargetMode="External"/><Relationship Id="rId_hyperlink_3413" Type="http://schemas.openxmlformats.org/officeDocument/2006/relationships/hyperlink" Target="https://www.diodes.com/datasheet/download/DMTH4005SPSQ.pdf" TargetMode="External"/><Relationship Id="rId_hyperlink_3414" Type="http://schemas.openxmlformats.org/officeDocument/2006/relationships/hyperlink" Target="https://www.diodes.com/part/view/DMTH4005SPSQ" TargetMode="External"/><Relationship Id="rId_hyperlink_3415" Type="http://schemas.openxmlformats.org/officeDocument/2006/relationships/hyperlink" Target="https://www.diodes.com/datasheet/download/DMTH4005SPSWQ.pdf" TargetMode="External"/><Relationship Id="rId_hyperlink_3416" Type="http://schemas.openxmlformats.org/officeDocument/2006/relationships/hyperlink" Target="https://www.diodes.com/part/view/DMTH4005SPSWQ" TargetMode="External"/><Relationship Id="rId_hyperlink_3417" Type="http://schemas.openxmlformats.org/officeDocument/2006/relationships/hyperlink" Target="https://www.diodes.com/datasheet/download/DMTH4007LK3.pdf" TargetMode="External"/><Relationship Id="rId_hyperlink_3418" Type="http://schemas.openxmlformats.org/officeDocument/2006/relationships/hyperlink" Target="https://www.diodes.com/part/view/DMTH4007LK3" TargetMode="External"/><Relationship Id="rId_hyperlink_3419" Type="http://schemas.openxmlformats.org/officeDocument/2006/relationships/hyperlink" Target="https://www.diodes.com/datasheet/download/DMTH4007LK3Q.pdf" TargetMode="External"/><Relationship Id="rId_hyperlink_3420" Type="http://schemas.openxmlformats.org/officeDocument/2006/relationships/hyperlink" Target="https://www.diodes.com/part/view/DMTH4007LK3Q" TargetMode="External"/><Relationship Id="rId_hyperlink_3421" Type="http://schemas.openxmlformats.org/officeDocument/2006/relationships/hyperlink" Target="https://www.diodes.com/datasheet/download/DMTH4007LPS.pdf" TargetMode="External"/><Relationship Id="rId_hyperlink_3422" Type="http://schemas.openxmlformats.org/officeDocument/2006/relationships/hyperlink" Target="https://www.diodes.com/part/view/DMTH4007LPS" TargetMode="External"/><Relationship Id="rId_hyperlink_3423" Type="http://schemas.openxmlformats.org/officeDocument/2006/relationships/hyperlink" Target="https://www.diodes.com/datasheet/download/DMTH4007LPSQ.pdf" TargetMode="External"/><Relationship Id="rId_hyperlink_3424" Type="http://schemas.openxmlformats.org/officeDocument/2006/relationships/hyperlink" Target="https://www.diodes.com/part/view/DMTH4007LPSQ" TargetMode="External"/><Relationship Id="rId_hyperlink_3425" Type="http://schemas.openxmlformats.org/officeDocument/2006/relationships/hyperlink" Target="https://www.diodes.com/datasheet/download/DMTH4007LPSWQ.pdf" TargetMode="External"/><Relationship Id="rId_hyperlink_3426" Type="http://schemas.openxmlformats.org/officeDocument/2006/relationships/hyperlink" Target="https://www.diodes.com/part/view/DMTH4007LPSWQ" TargetMode="External"/><Relationship Id="rId_hyperlink_3427" Type="http://schemas.openxmlformats.org/officeDocument/2006/relationships/hyperlink" Target="https://www.diodes.com/datasheet/download/DMTH4007SK3.pdf" TargetMode="External"/><Relationship Id="rId_hyperlink_3428" Type="http://schemas.openxmlformats.org/officeDocument/2006/relationships/hyperlink" Target="https://www.diodes.com/part/view/DMTH4007SK3" TargetMode="External"/><Relationship Id="rId_hyperlink_3429" Type="http://schemas.openxmlformats.org/officeDocument/2006/relationships/hyperlink" Target="https://www.diodes.com/datasheet/download/DMTH4007SPD.pdf" TargetMode="External"/><Relationship Id="rId_hyperlink_3430" Type="http://schemas.openxmlformats.org/officeDocument/2006/relationships/hyperlink" Target="https://www.diodes.com/part/view/DMTH4007SPD" TargetMode="External"/><Relationship Id="rId_hyperlink_3431" Type="http://schemas.openxmlformats.org/officeDocument/2006/relationships/hyperlink" Target="https://www.diodes.com/datasheet/download/DMTH4007SPDQ.pdf" TargetMode="External"/><Relationship Id="rId_hyperlink_3432" Type="http://schemas.openxmlformats.org/officeDocument/2006/relationships/hyperlink" Target="https://www.diodes.com/part/view/DMTH4007SPDQ" TargetMode="External"/><Relationship Id="rId_hyperlink_3433" Type="http://schemas.openxmlformats.org/officeDocument/2006/relationships/hyperlink" Target="https://www.diodes.com/datasheet/download/DMTH4007SPDWQ.pdf" TargetMode="External"/><Relationship Id="rId_hyperlink_3434" Type="http://schemas.openxmlformats.org/officeDocument/2006/relationships/hyperlink" Target="https://www.diodes.com/part/view/DMTH4007SPDWQ" TargetMode="External"/><Relationship Id="rId_hyperlink_3435" Type="http://schemas.openxmlformats.org/officeDocument/2006/relationships/hyperlink" Target="https://www.diodes.com/datasheet/download/DMTH4007SPS.pdf" TargetMode="External"/><Relationship Id="rId_hyperlink_3436" Type="http://schemas.openxmlformats.org/officeDocument/2006/relationships/hyperlink" Target="https://www.diodes.com/part/view/DMTH4007SPS" TargetMode="External"/><Relationship Id="rId_hyperlink_3437" Type="http://schemas.openxmlformats.org/officeDocument/2006/relationships/hyperlink" Target="https://www.diodes.com/datasheet/download/DMTH4007SPSQ.pdf" TargetMode="External"/><Relationship Id="rId_hyperlink_3438" Type="http://schemas.openxmlformats.org/officeDocument/2006/relationships/hyperlink" Target="https://www.diodes.com/part/view/DMTH4007SPSQ" TargetMode="External"/><Relationship Id="rId_hyperlink_3439" Type="http://schemas.openxmlformats.org/officeDocument/2006/relationships/hyperlink" Target="https://www.diodes.com/datasheet/download/DMTH4007SPSWQ.pdf" TargetMode="External"/><Relationship Id="rId_hyperlink_3440" Type="http://schemas.openxmlformats.org/officeDocument/2006/relationships/hyperlink" Target="https://www.diodes.com/part/view/DMTH4007SPSWQ" TargetMode="External"/><Relationship Id="rId_hyperlink_3441" Type="http://schemas.openxmlformats.org/officeDocument/2006/relationships/hyperlink" Target="https://www.diodes.com/datasheet/download/DMTH4008LFDFW.pdf" TargetMode="External"/><Relationship Id="rId_hyperlink_3442" Type="http://schemas.openxmlformats.org/officeDocument/2006/relationships/hyperlink" Target="https://www.diodes.com/part/view/DMTH4008LFDFW" TargetMode="External"/><Relationship Id="rId_hyperlink_3443" Type="http://schemas.openxmlformats.org/officeDocument/2006/relationships/hyperlink" Target="https://www.diodes.com/datasheet/download/DMTH4008LFDFWQ.pdf" TargetMode="External"/><Relationship Id="rId_hyperlink_3444" Type="http://schemas.openxmlformats.org/officeDocument/2006/relationships/hyperlink" Target="https://www.diodes.com/part/view/DMTH4008LFDFWQ" TargetMode="External"/><Relationship Id="rId_hyperlink_3445" Type="http://schemas.openxmlformats.org/officeDocument/2006/relationships/hyperlink" Target="https://www.diodes.com/datasheet/download/DMTH4008LPDW.pdf" TargetMode="External"/><Relationship Id="rId_hyperlink_3446" Type="http://schemas.openxmlformats.org/officeDocument/2006/relationships/hyperlink" Target="https://www.diodes.com/part/view/DMTH4008LPDW" TargetMode="External"/><Relationship Id="rId_hyperlink_3447" Type="http://schemas.openxmlformats.org/officeDocument/2006/relationships/hyperlink" Target="https://www.diodes.com/datasheet/download/DMTH4008LPDWQ.pdf" TargetMode="External"/><Relationship Id="rId_hyperlink_3448" Type="http://schemas.openxmlformats.org/officeDocument/2006/relationships/hyperlink" Target="https://www.diodes.com/part/view/DMTH4008LPDWQ" TargetMode="External"/><Relationship Id="rId_hyperlink_3449" Type="http://schemas.openxmlformats.org/officeDocument/2006/relationships/hyperlink" Target="https://www.diodes.com/datasheet/download/DMTH4008LPS.pdf" TargetMode="External"/><Relationship Id="rId_hyperlink_3450" Type="http://schemas.openxmlformats.org/officeDocument/2006/relationships/hyperlink" Target="https://www.diodes.com/part/view/DMTH4008LPS" TargetMode="External"/><Relationship Id="rId_hyperlink_3451" Type="http://schemas.openxmlformats.org/officeDocument/2006/relationships/hyperlink" Target="https://www.diodes.com/datasheet/download/DMTH4008LPSQ.pdf" TargetMode="External"/><Relationship Id="rId_hyperlink_3452" Type="http://schemas.openxmlformats.org/officeDocument/2006/relationships/hyperlink" Target="https://www.diodes.com/part/view/DMTH4008LPSQ" TargetMode="External"/><Relationship Id="rId_hyperlink_3453" Type="http://schemas.openxmlformats.org/officeDocument/2006/relationships/hyperlink" Target="https://www.diodes.com/datasheet/download/DMTH4008LPSWQ.pdf" TargetMode="External"/><Relationship Id="rId_hyperlink_3454" Type="http://schemas.openxmlformats.org/officeDocument/2006/relationships/hyperlink" Target="https://www.diodes.com/part/view/DMTH4008LPSWQ" TargetMode="External"/><Relationship Id="rId_hyperlink_3455" Type="http://schemas.openxmlformats.org/officeDocument/2006/relationships/hyperlink" Target="https://www.diodes.com/datasheet/download/DMTH4011SPD.pdf" TargetMode="External"/><Relationship Id="rId_hyperlink_3456" Type="http://schemas.openxmlformats.org/officeDocument/2006/relationships/hyperlink" Target="https://www.diodes.com/part/view/DMTH4011SPD" TargetMode="External"/><Relationship Id="rId_hyperlink_3457" Type="http://schemas.openxmlformats.org/officeDocument/2006/relationships/hyperlink" Target="https://www.diodes.com/datasheet/download/DMTH4011SPDQ.pdf" TargetMode="External"/><Relationship Id="rId_hyperlink_3458" Type="http://schemas.openxmlformats.org/officeDocument/2006/relationships/hyperlink" Target="https://www.diodes.com/part/view/DMTH4011SPDQ" TargetMode="External"/><Relationship Id="rId_hyperlink_3459" Type="http://schemas.openxmlformats.org/officeDocument/2006/relationships/hyperlink" Target="https://www.diodes.com/datasheet/download/DMTH4011SPDWQ.pdf" TargetMode="External"/><Relationship Id="rId_hyperlink_3460" Type="http://schemas.openxmlformats.org/officeDocument/2006/relationships/hyperlink" Target="https://www.diodes.com/part/view/DMTH4011SPDWQ" TargetMode="External"/><Relationship Id="rId_hyperlink_3461" Type="http://schemas.openxmlformats.org/officeDocument/2006/relationships/hyperlink" Target="https://www.diodes.com/datasheet/download/DMTH4014LDVW.pdf" TargetMode="External"/><Relationship Id="rId_hyperlink_3462" Type="http://schemas.openxmlformats.org/officeDocument/2006/relationships/hyperlink" Target="https://www.diodes.com/part/view/DMTH4014LDVW" TargetMode="External"/><Relationship Id="rId_hyperlink_3463" Type="http://schemas.openxmlformats.org/officeDocument/2006/relationships/hyperlink" Target="https://www.diodes.com/datasheet/download/DMTH4014LDVWQ.pdf" TargetMode="External"/><Relationship Id="rId_hyperlink_3464" Type="http://schemas.openxmlformats.org/officeDocument/2006/relationships/hyperlink" Target="https://www.diodes.com/part/view/DMTH4014LDVWQ" TargetMode="External"/><Relationship Id="rId_hyperlink_3465" Type="http://schemas.openxmlformats.org/officeDocument/2006/relationships/hyperlink" Target="https://www.diodes.com/datasheet/download/DMTH4014LFVW.pdf" TargetMode="External"/><Relationship Id="rId_hyperlink_3466" Type="http://schemas.openxmlformats.org/officeDocument/2006/relationships/hyperlink" Target="https://www.diodes.com/part/view/DMTH4014LFVW" TargetMode="External"/><Relationship Id="rId_hyperlink_3467" Type="http://schemas.openxmlformats.org/officeDocument/2006/relationships/hyperlink" Target="https://www.diodes.com/datasheet/download/DMTH4014LFVWQ.pdf" TargetMode="External"/><Relationship Id="rId_hyperlink_3468" Type="http://schemas.openxmlformats.org/officeDocument/2006/relationships/hyperlink" Target="https://www.diodes.com/part/view/DMTH4014LFVWQ" TargetMode="External"/><Relationship Id="rId_hyperlink_3469" Type="http://schemas.openxmlformats.org/officeDocument/2006/relationships/hyperlink" Target="https://www.diodes.com/datasheet/download/DMTH4014LPD.pdf" TargetMode="External"/><Relationship Id="rId_hyperlink_3470" Type="http://schemas.openxmlformats.org/officeDocument/2006/relationships/hyperlink" Target="https://www.diodes.com/part/view/DMTH4014LPD" TargetMode="External"/><Relationship Id="rId_hyperlink_3471" Type="http://schemas.openxmlformats.org/officeDocument/2006/relationships/hyperlink" Target="https://www.diodes.com/datasheet/download/DMTH4014LPDQ.pdf" TargetMode="External"/><Relationship Id="rId_hyperlink_3472" Type="http://schemas.openxmlformats.org/officeDocument/2006/relationships/hyperlink" Target="https://www.diodes.com/part/view/DMTH4014LPDQ" TargetMode="External"/><Relationship Id="rId_hyperlink_3473" Type="http://schemas.openxmlformats.org/officeDocument/2006/relationships/hyperlink" Target="https://www.diodes.com/datasheet/download/DMTH4014LPDWQ.pdf" TargetMode="External"/><Relationship Id="rId_hyperlink_3474" Type="http://schemas.openxmlformats.org/officeDocument/2006/relationships/hyperlink" Target="https://www.diodes.com/part/view/DMTH4014LPDWQ" TargetMode="External"/><Relationship Id="rId_hyperlink_3475" Type="http://schemas.openxmlformats.org/officeDocument/2006/relationships/hyperlink" Target="https://www.diodes.com/datasheet/download/DMTH4014LPSW.pdf" TargetMode="External"/><Relationship Id="rId_hyperlink_3476" Type="http://schemas.openxmlformats.org/officeDocument/2006/relationships/hyperlink" Target="https://www.diodes.com/part/view/DMTH4014LPSW" TargetMode="External"/><Relationship Id="rId_hyperlink_3477" Type="http://schemas.openxmlformats.org/officeDocument/2006/relationships/hyperlink" Target="https://www.diodes.com/datasheet/download/DMTH4014LPSWQ.pdf" TargetMode="External"/><Relationship Id="rId_hyperlink_3478" Type="http://schemas.openxmlformats.org/officeDocument/2006/relationships/hyperlink" Target="https://www.diodes.com/part/view/DMTH4014LPSWQ" TargetMode="External"/><Relationship Id="rId_hyperlink_3479" Type="http://schemas.openxmlformats.org/officeDocument/2006/relationships/hyperlink" Target="https://www.diodes.com/datasheet/download/DMTH4014SPSW.pdf" TargetMode="External"/><Relationship Id="rId_hyperlink_3480" Type="http://schemas.openxmlformats.org/officeDocument/2006/relationships/hyperlink" Target="https://www.diodes.com/part/view/DMTH4014SPSW" TargetMode="External"/><Relationship Id="rId_hyperlink_3481" Type="http://schemas.openxmlformats.org/officeDocument/2006/relationships/hyperlink" Target="https://www.diodes.com/datasheet/download/DMTH4014SPSWQ.pdf" TargetMode="External"/><Relationship Id="rId_hyperlink_3482" Type="http://schemas.openxmlformats.org/officeDocument/2006/relationships/hyperlink" Target="https://www.diodes.com/part/view/DMTH4014SPSWQ" TargetMode="External"/><Relationship Id="rId_hyperlink_3483" Type="http://schemas.openxmlformats.org/officeDocument/2006/relationships/hyperlink" Target="https://www.diodes.com/datasheet/download/DMTH41M2SPS.pdf" TargetMode="External"/><Relationship Id="rId_hyperlink_3484" Type="http://schemas.openxmlformats.org/officeDocument/2006/relationships/hyperlink" Target="https://www.diodes.com/part/view/DMTH41M2SPS" TargetMode="External"/><Relationship Id="rId_hyperlink_3485" Type="http://schemas.openxmlformats.org/officeDocument/2006/relationships/hyperlink" Target="https://www.diodes.com/datasheet/download/DMTH41M2SPSQ.pdf" TargetMode="External"/><Relationship Id="rId_hyperlink_3486" Type="http://schemas.openxmlformats.org/officeDocument/2006/relationships/hyperlink" Target="https://www.diodes.com/part/view/DMTH41M2SPSQ" TargetMode="External"/><Relationship Id="rId_hyperlink_3487" Type="http://schemas.openxmlformats.org/officeDocument/2006/relationships/hyperlink" Target="https://www.diodes.com/datasheet/download/DMTH41M3LPSW.pdf" TargetMode="External"/><Relationship Id="rId_hyperlink_3488" Type="http://schemas.openxmlformats.org/officeDocument/2006/relationships/hyperlink" Target="https://www.diodes.com/part/view/DMTH41M3LPSW" TargetMode="External"/><Relationship Id="rId_hyperlink_3489" Type="http://schemas.openxmlformats.org/officeDocument/2006/relationships/hyperlink" Target="https://www.diodes.com/datasheet/download/DMTH41M3LPSWQ.pdf" TargetMode="External"/><Relationship Id="rId_hyperlink_3490" Type="http://schemas.openxmlformats.org/officeDocument/2006/relationships/hyperlink" Target="https://www.diodes.com/part/view/DMTH41M3LPSWQ" TargetMode="External"/><Relationship Id="rId_hyperlink_3491" Type="http://schemas.openxmlformats.org/officeDocument/2006/relationships/hyperlink" Target="https://www.diodes.com/datasheet/download/DMTH41M3SPSW.pdf" TargetMode="External"/><Relationship Id="rId_hyperlink_3492" Type="http://schemas.openxmlformats.org/officeDocument/2006/relationships/hyperlink" Target="https://www.diodes.com/part/view/DMTH41M3SPSW" TargetMode="External"/><Relationship Id="rId_hyperlink_3493" Type="http://schemas.openxmlformats.org/officeDocument/2006/relationships/hyperlink" Target="https://www.diodes.com/datasheet/download/DMTH41M3SPSWQ.pdf" TargetMode="External"/><Relationship Id="rId_hyperlink_3494" Type="http://schemas.openxmlformats.org/officeDocument/2006/relationships/hyperlink" Target="https://www.diodes.com/part/view/DMTH41M3SPSWQ" TargetMode="External"/><Relationship Id="rId_hyperlink_3495" Type="http://schemas.openxmlformats.org/officeDocument/2006/relationships/hyperlink" Target="https://www.diodes.com/datasheet/download/DMTH41M8SPS.pdf" TargetMode="External"/><Relationship Id="rId_hyperlink_3496" Type="http://schemas.openxmlformats.org/officeDocument/2006/relationships/hyperlink" Target="https://www.diodes.com/part/view/DMTH41M8SPS" TargetMode="External"/><Relationship Id="rId_hyperlink_3497" Type="http://schemas.openxmlformats.org/officeDocument/2006/relationships/hyperlink" Target="https://www.diodes.com/datasheet/download/DMTH41M8SPSQ.pdf" TargetMode="External"/><Relationship Id="rId_hyperlink_3498" Type="http://schemas.openxmlformats.org/officeDocument/2006/relationships/hyperlink" Target="https://www.diodes.com/part/view/DMTH41M8SPSQ" TargetMode="External"/><Relationship Id="rId_hyperlink_3499" Type="http://schemas.openxmlformats.org/officeDocument/2006/relationships/hyperlink" Target="https://www.diodes.com/datasheet/download/DMTH42M4SPS.pdf" TargetMode="External"/><Relationship Id="rId_hyperlink_3500" Type="http://schemas.openxmlformats.org/officeDocument/2006/relationships/hyperlink" Target="https://www.diodes.com/part/view/DMTH42M4SPS" TargetMode="External"/><Relationship Id="rId_hyperlink_3501" Type="http://schemas.openxmlformats.org/officeDocument/2006/relationships/hyperlink" Target="https://www.diodes.com/datasheet/download/DMTH42M4SPSQ.pdf" TargetMode="External"/><Relationship Id="rId_hyperlink_3502" Type="http://schemas.openxmlformats.org/officeDocument/2006/relationships/hyperlink" Target="https://www.diodes.com/part/view/DMTH42M4SPSQ" TargetMode="External"/><Relationship Id="rId_hyperlink_3503" Type="http://schemas.openxmlformats.org/officeDocument/2006/relationships/hyperlink" Target="https://www.diodes.com/datasheet/download/DMTH42M5LPSW.pdf" TargetMode="External"/><Relationship Id="rId_hyperlink_3504" Type="http://schemas.openxmlformats.org/officeDocument/2006/relationships/hyperlink" Target="https://www.diodes.com/part/view/DMTH42M5LPSW" TargetMode="External"/><Relationship Id="rId_hyperlink_3505" Type="http://schemas.openxmlformats.org/officeDocument/2006/relationships/hyperlink" Target="https://www.diodes.com/datasheet/download/DMTH42M5LPSWQ.pdf" TargetMode="External"/><Relationship Id="rId_hyperlink_3506" Type="http://schemas.openxmlformats.org/officeDocument/2006/relationships/hyperlink" Target="https://www.diodes.com/part/view/DMTH42M5LPSWQ" TargetMode="External"/><Relationship Id="rId_hyperlink_3507" Type="http://schemas.openxmlformats.org/officeDocument/2006/relationships/hyperlink" Target="https://www.diodes.com/datasheet/download/DMTH43M7LFG.pdf" TargetMode="External"/><Relationship Id="rId_hyperlink_3508" Type="http://schemas.openxmlformats.org/officeDocument/2006/relationships/hyperlink" Target="https://www.diodes.com/part/view/DMTH43M7LFG" TargetMode="External"/><Relationship Id="rId_hyperlink_3509" Type="http://schemas.openxmlformats.org/officeDocument/2006/relationships/hyperlink" Target="https://www.diodes.com/datasheet/download/DMTH43M7LFGQ.pdf" TargetMode="External"/><Relationship Id="rId_hyperlink_3510" Type="http://schemas.openxmlformats.org/officeDocument/2006/relationships/hyperlink" Target="https://www.diodes.com/part/view/DMTH43M7LFGQ" TargetMode="External"/><Relationship Id="rId_hyperlink_3511" Type="http://schemas.openxmlformats.org/officeDocument/2006/relationships/hyperlink" Target="https://www.diodes.com/datasheet/download/DMTH43M8LFG.pdf" TargetMode="External"/><Relationship Id="rId_hyperlink_3512" Type="http://schemas.openxmlformats.org/officeDocument/2006/relationships/hyperlink" Target="https://www.diodes.com/part/view/DMTH43M8LFG" TargetMode="External"/><Relationship Id="rId_hyperlink_3513" Type="http://schemas.openxmlformats.org/officeDocument/2006/relationships/hyperlink" Target="https://www.diodes.com/datasheet/download/DMTH43M8LFGQ.pdf" TargetMode="External"/><Relationship Id="rId_hyperlink_3514" Type="http://schemas.openxmlformats.org/officeDocument/2006/relationships/hyperlink" Target="https://www.diodes.com/part/view/DMTH43M8LFGQ" TargetMode="External"/><Relationship Id="rId_hyperlink_3515" Type="http://schemas.openxmlformats.org/officeDocument/2006/relationships/hyperlink" Target="https://www.diodes.com/datasheet/download/DMTH43M8LFVW.pdf" TargetMode="External"/><Relationship Id="rId_hyperlink_3516" Type="http://schemas.openxmlformats.org/officeDocument/2006/relationships/hyperlink" Target="https://www.diodes.com/part/view/DMTH43M8LFVW" TargetMode="External"/><Relationship Id="rId_hyperlink_3517" Type="http://schemas.openxmlformats.org/officeDocument/2006/relationships/hyperlink" Target="https://www.diodes.com/datasheet/download/DMTH43M8LFVWQ.pdf" TargetMode="External"/><Relationship Id="rId_hyperlink_3518" Type="http://schemas.openxmlformats.org/officeDocument/2006/relationships/hyperlink" Target="https://www.diodes.com/part/view/DMTH43M8LFVWQ" TargetMode="External"/><Relationship Id="rId_hyperlink_3519" Type="http://schemas.openxmlformats.org/officeDocument/2006/relationships/hyperlink" Target="https://www.diodes.com/datasheet/download/DMTH43M8LK3.pdf" TargetMode="External"/><Relationship Id="rId_hyperlink_3520" Type="http://schemas.openxmlformats.org/officeDocument/2006/relationships/hyperlink" Target="https://www.diodes.com/part/view/DMTH43M8LK3" TargetMode="External"/><Relationship Id="rId_hyperlink_3521" Type="http://schemas.openxmlformats.org/officeDocument/2006/relationships/hyperlink" Target="https://www.diodes.com/datasheet/download/DMTH43M8LK3Q.pdf" TargetMode="External"/><Relationship Id="rId_hyperlink_3522" Type="http://schemas.openxmlformats.org/officeDocument/2006/relationships/hyperlink" Target="https://www.diodes.com/part/view/DMTH43M8LK3Q" TargetMode="External"/><Relationship Id="rId_hyperlink_3523" Type="http://schemas.openxmlformats.org/officeDocument/2006/relationships/hyperlink" Target="https://www.diodes.com/datasheet/download/DMTH43M8LPDW.pdf" TargetMode="External"/><Relationship Id="rId_hyperlink_3524" Type="http://schemas.openxmlformats.org/officeDocument/2006/relationships/hyperlink" Target="https://www.diodes.com/part/view/DMTH43M8LPDW" TargetMode="External"/><Relationship Id="rId_hyperlink_3525" Type="http://schemas.openxmlformats.org/officeDocument/2006/relationships/hyperlink" Target="https://www.diodes.com/datasheet/download/DMTH43M8LPDWQ.pdf" TargetMode="External"/><Relationship Id="rId_hyperlink_3526" Type="http://schemas.openxmlformats.org/officeDocument/2006/relationships/hyperlink" Target="https://www.diodes.com/part/view/DMTH43M8LPDWQ" TargetMode="External"/><Relationship Id="rId_hyperlink_3527" Type="http://schemas.openxmlformats.org/officeDocument/2006/relationships/hyperlink" Target="https://www.diodes.com/datasheet/download/DMTH43M8LPS.pdf" TargetMode="External"/><Relationship Id="rId_hyperlink_3528" Type="http://schemas.openxmlformats.org/officeDocument/2006/relationships/hyperlink" Target="https://www.diodes.com/part/view/DMTH43M8LPS" TargetMode="External"/><Relationship Id="rId_hyperlink_3529" Type="http://schemas.openxmlformats.org/officeDocument/2006/relationships/hyperlink" Target="https://www.diodes.com/datasheet/download/DMTH43M8LPSQ.pdf" TargetMode="External"/><Relationship Id="rId_hyperlink_3530" Type="http://schemas.openxmlformats.org/officeDocument/2006/relationships/hyperlink" Target="https://www.diodes.com/part/view/DMTH43M8LPSQ" TargetMode="External"/><Relationship Id="rId_hyperlink_3531" Type="http://schemas.openxmlformats.org/officeDocument/2006/relationships/hyperlink" Target="https://www.diodes.com/datasheet/download/DMTH43M8LPSWQ.pdf" TargetMode="External"/><Relationship Id="rId_hyperlink_3532" Type="http://schemas.openxmlformats.org/officeDocument/2006/relationships/hyperlink" Target="https://www.diodes.com/part/view/DMTH43M8LPSWQ" TargetMode="External"/><Relationship Id="rId_hyperlink_3533" Type="http://schemas.openxmlformats.org/officeDocument/2006/relationships/hyperlink" Target="https://www.diodes.com/datasheet/download/DMTH43M8SPDW.pdf" TargetMode="External"/><Relationship Id="rId_hyperlink_3534" Type="http://schemas.openxmlformats.org/officeDocument/2006/relationships/hyperlink" Target="https://www.diodes.com/part/view/DMTH43M8SPDW" TargetMode="External"/><Relationship Id="rId_hyperlink_3535" Type="http://schemas.openxmlformats.org/officeDocument/2006/relationships/hyperlink" Target="https://www.diodes.com/datasheet/download/DMTH43M8SPDWQ.pdf" TargetMode="External"/><Relationship Id="rId_hyperlink_3536" Type="http://schemas.openxmlformats.org/officeDocument/2006/relationships/hyperlink" Target="https://www.diodes.com/part/view/DMTH43M8SPDWQ" TargetMode="External"/><Relationship Id="rId_hyperlink_3537" Type="http://schemas.openxmlformats.org/officeDocument/2006/relationships/hyperlink" Target="https://www.diodes.com/datasheet/download/DMTH45M5LFVW.pdf" TargetMode="External"/><Relationship Id="rId_hyperlink_3538" Type="http://schemas.openxmlformats.org/officeDocument/2006/relationships/hyperlink" Target="https://www.diodes.com/part/view/DMTH45M5LFVW" TargetMode="External"/><Relationship Id="rId_hyperlink_3539" Type="http://schemas.openxmlformats.org/officeDocument/2006/relationships/hyperlink" Target="https://www.diodes.com/datasheet/download/DMTH45M5LFVWQ.pdf" TargetMode="External"/><Relationship Id="rId_hyperlink_3540" Type="http://schemas.openxmlformats.org/officeDocument/2006/relationships/hyperlink" Target="https://www.diodes.com/part/view/DMTH45M5LFVWQ" TargetMode="External"/><Relationship Id="rId_hyperlink_3541" Type="http://schemas.openxmlformats.org/officeDocument/2006/relationships/hyperlink" Target="https://www.diodes.com/datasheet/download/DMTH45M5LPDW.pdf" TargetMode="External"/><Relationship Id="rId_hyperlink_3542" Type="http://schemas.openxmlformats.org/officeDocument/2006/relationships/hyperlink" Target="https://www.diodes.com/part/view/DMTH45M5LPDW" TargetMode="External"/><Relationship Id="rId_hyperlink_3543" Type="http://schemas.openxmlformats.org/officeDocument/2006/relationships/hyperlink" Target="https://www.diodes.com/datasheet/download/DMTH45M5LPDWQ.pdf" TargetMode="External"/><Relationship Id="rId_hyperlink_3544" Type="http://schemas.openxmlformats.org/officeDocument/2006/relationships/hyperlink" Target="https://www.diodes.com/part/view/DMTH45M5LPDWQ" TargetMode="External"/><Relationship Id="rId_hyperlink_3545" Type="http://schemas.openxmlformats.org/officeDocument/2006/relationships/hyperlink" Target="https://www.diodes.com/datasheet/download/DMTH45M5LPSW.pdf" TargetMode="External"/><Relationship Id="rId_hyperlink_3546" Type="http://schemas.openxmlformats.org/officeDocument/2006/relationships/hyperlink" Target="https://www.diodes.com/part/view/DMTH45M5LPSW" TargetMode="External"/><Relationship Id="rId_hyperlink_3547" Type="http://schemas.openxmlformats.org/officeDocument/2006/relationships/hyperlink" Target="https://www.diodes.com/datasheet/download/DMTH45M5LPSWQ.pdf" TargetMode="External"/><Relationship Id="rId_hyperlink_3548" Type="http://schemas.openxmlformats.org/officeDocument/2006/relationships/hyperlink" Target="https://www.diodes.com/part/view/DMTH45M5LPSWQ" TargetMode="External"/><Relationship Id="rId_hyperlink_3549" Type="http://schemas.openxmlformats.org/officeDocument/2006/relationships/hyperlink" Target="https://www.diodes.com/datasheet/download/DMTH45M5SFVW.pdf" TargetMode="External"/><Relationship Id="rId_hyperlink_3550" Type="http://schemas.openxmlformats.org/officeDocument/2006/relationships/hyperlink" Target="https://www.diodes.com/part/view/DMTH45M5SFVW" TargetMode="External"/><Relationship Id="rId_hyperlink_3551" Type="http://schemas.openxmlformats.org/officeDocument/2006/relationships/hyperlink" Target="https://www.diodes.com/datasheet/download/DMTH45M5SFVWQ.pdf" TargetMode="External"/><Relationship Id="rId_hyperlink_3552" Type="http://schemas.openxmlformats.org/officeDocument/2006/relationships/hyperlink" Target="https://www.diodes.com/part/view/DMTH45M5SFVWQ" TargetMode="External"/><Relationship Id="rId_hyperlink_3553" Type="http://schemas.openxmlformats.org/officeDocument/2006/relationships/hyperlink" Target="https://www.diodes.com/datasheet/download/DMTH45M5SPDW.pdf" TargetMode="External"/><Relationship Id="rId_hyperlink_3554" Type="http://schemas.openxmlformats.org/officeDocument/2006/relationships/hyperlink" Target="https://www.diodes.com/part/view/DMTH45M5SPDW" TargetMode="External"/><Relationship Id="rId_hyperlink_3555" Type="http://schemas.openxmlformats.org/officeDocument/2006/relationships/hyperlink" Target="https://www.diodes.com/datasheet/download/DMTH45M5SPDWQ.pdf" TargetMode="External"/><Relationship Id="rId_hyperlink_3556" Type="http://schemas.openxmlformats.org/officeDocument/2006/relationships/hyperlink" Target="https://www.diodes.com/part/view/DMTH45M5SPDWQ" TargetMode="External"/><Relationship Id="rId_hyperlink_3557" Type="http://schemas.openxmlformats.org/officeDocument/2006/relationships/hyperlink" Target="https://www.diodes.com/datasheet/download/DMTH45M5SPSW.pdf" TargetMode="External"/><Relationship Id="rId_hyperlink_3558" Type="http://schemas.openxmlformats.org/officeDocument/2006/relationships/hyperlink" Target="https://www.diodes.com/part/view/DMTH45M5SPSW" TargetMode="External"/><Relationship Id="rId_hyperlink_3559" Type="http://schemas.openxmlformats.org/officeDocument/2006/relationships/hyperlink" Target="https://www.diodes.com/datasheet/download/DMTH45M5SPSWQ.pdf" TargetMode="External"/><Relationship Id="rId_hyperlink_3560" Type="http://schemas.openxmlformats.org/officeDocument/2006/relationships/hyperlink" Target="https://www.diodes.com/part/view/DMTH45M5SPSWQ" TargetMode="External"/><Relationship Id="rId_hyperlink_3561" Type="http://schemas.openxmlformats.org/officeDocument/2006/relationships/hyperlink" Target="https://www.diodes.com/datasheet/download/DMTH47M2LFVW.pdf" TargetMode="External"/><Relationship Id="rId_hyperlink_3562" Type="http://schemas.openxmlformats.org/officeDocument/2006/relationships/hyperlink" Target="https://www.diodes.com/part/view/DMTH47M2LFVW" TargetMode="External"/><Relationship Id="rId_hyperlink_3563" Type="http://schemas.openxmlformats.org/officeDocument/2006/relationships/hyperlink" Target="https://www.diodes.com/datasheet/download/DMTH47M2LFVWQ.pdf" TargetMode="External"/><Relationship Id="rId_hyperlink_3564" Type="http://schemas.openxmlformats.org/officeDocument/2006/relationships/hyperlink" Target="https://www.diodes.com/part/view/DMTH47M2LFVWQ" TargetMode="External"/><Relationship Id="rId_hyperlink_3565" Type="http://schemas.openxmlformats.org/officeDocument/2006/relationships/hyperlink" Target="https://www.diodes.com/datasheet/download/DMTH47M2LPSW.pdf" TargetMode="External"/><Relationship Id="rId_hyperlink_3566" Type="http://schemas.openxmlformats.org/officeDocument/2006/relationships/hyperlink" Target="https://www.diodes.com/part/view/DMTH47M2LPSW" TargetMode="External"/><Relationship Id="rId_hyperlink_3567" Type="http://schemas.openxmlformats.org/officeDocument/2006/relationships/hyperlink" Target="https://www.diodes.com/datasheet/download/DMTH47M2LPSWQ.pdf" TargetMode="External"/><Relationship Id="rId_hyperlink_3568" Type="http://schemas.openxmlformats.org/officeDocument/2006/relationships/hyperlink" Target="https://www.diodes.com/part/view/DMTH47M2LPSWQ" TargetMode="External"/><Relationship Id="rId_hyperlink_3569" Type="http://schemas.openxmlformats.org/officeDocument/2006/relationships/hyperlink" Target="https://www.diodes.com/datasheet/download/DMTH47M2SK3.pdf" TargetMode="External"/><Relationship Id="rId_hyperlink_3570" Type="http://schemas.openxmlformats.org/officeDocument/2006/relationships/hyperlink" Target="https://www.diodes.com/part/view/DMTH47M2SK3" TargetMode="External"/><Relationship Id="rId_hyperlink_3571" Type="http://schemas.openxmlformats.org/officeDocument/2006/relationships/hyperlink" Target="https://www.diodes.com/datasheet/download/DMTH47M2SPSW.pdf" TargetMode="External"/><Relationship Id="rId_hyperlink_3572" Type="http://schemas.openxmlformats.org/officeDocument/2006/relationships/hyperlink" Target="https://www.diodes.com/part/view/DMTH47M2SPSW" TargetMode="External"/><Relationship Id="rId_hyperlink_3573" Type="http://schemas.openxmlformats.org/officeDocument/2006/relationships/hyperlink" Target="https://www.diodes.com/datasheet/download/DMTH47M2SPSWQ.pdf" TargetMode="External"/><Relationship Id="rId_hyperlink_3574" Type="http://schemas.openxmlformats.org/officeDocument/2006/relationships/hyperlink" Target="https://www.diodes.com/part/view/DMTH47M2SPSWQ" TargetMode="External"/><Relationship Id="rId_hyperlink_3575" Type="http://schemas.openxmlformats.org/officeDocument/2006/relationships/hyperlink" Target="https://www.diodes.com/datasheet/download/DMTH48M3SFVW.pdf" TargetMode="External"/><Relationship Id="rId_hyperlink_3576" Type="http://schemas.openxmlformats.org/officeDocument/2006/relationships/hyperlink" Target="https://www.diodes.com/part/view/DMTH48M3SFVW" TargetMode="External"/><Relationship Id="rId_hyperlink_3577" Type="http://schemas.openxmlformats.org/officeDocument/2006/relationships/hyperlink" Target="https://www.diodes.com/datasheet/download/DMTH48M3SFVWQ.pdf" TargetMode="External"/><Relationship Id="rId_hyperlink_3578" Type="http://schemas.openxmlformats.org/officeDocument/2006/relationships/hyperlink" Target="https://www.diodes.com/part/view/DMTH48M3SFVWQ" TargetMode="External"/><Relationship Id="rId_hyperlink_3579" Type="http://schemas.openxmlformats.org/officeDocument/2006/relationships/hyperlink" Target="https://www.diodes.com/datasheet/download/DMTH4M70SPGW.pdf" TargetMode="External"/><Relationship Id="rId_hyperlink_3580" Type="http://schemas.openxmlformats.org/officeDocument/2006/relationships/hyperlink" Target="https://www.diodes.com/part/view/DMTH4M70SPGW" TargetMode="External"/><Relationship Id="rId_hyperlink_3581" Type="http://schemas.openxmlformats.org/officeDocument/2006/relationships/hyperlink" Target="https://www.diodes.com/datasheet/download/DMTH4M70SPGWQ.pdf" TargetMode="External"/><Relationship Id="rId_hyperlink_3582" Type="http://schemas.openxmlformats.org/officeDocument/2006/relationships/hyperlink" Target="https://www.diodes.com/part/view/DMTH4M70SPGWQ" TargetMode="External"/><Relationship Id="rId_hyperlink_3583" Type="http://schemas.openxmlformats.org/officeDocument/2006/relationships/hyperlink" Target="https://www.diodes.com/datasheet/download/DMTH4M75LPSW.pdf" TargetMode="External"/><Relationship Id="rId_hyperlink_3584" Type="http://schemas.openxmlformats.org/officeDocument/2006/relationships/hyperlink" Target="https://www.diodes.com/part/view/DMTH4M75LPSW" TargetMode="External"/><Relationship Id="rId_hyperlink_3585" Type="http://schemas.openxmlformats.org/officeDocument/2006/relationships/hyperlink" Target="https://www.diodes.com/datasheet/download/DMTH4M75LPSWQ.pdf" TargetMode="External"/><Relationship Id="rId_hyperlink_3586" Type="http://schemas.openxmlformats.org/officeDocument/2006/relationships/hyperlink" Target="https://www.diodes.com/part/view/DMTH4M75LPSWQ" TargetMode="External"/><Relationship Id="rId_hyperlink_3587" Type="http://schemas.openxmlformats.org/officeDocument/2006/relationships/hyperlink" Target="https://www.diodes.com/datasheet/download/DMTH4M75SPSW.pdf" TargetMode="External"/><Relationship Id="rId_hyperlink_3588" Type="http://schemas.openxmlformats.org/officeDocument/2006/relationships/hyperlink" Target="https://www.diodes.com/part/view/DMTH4M75SPSW" TargetMode="External"/><Relationship Id="rId_hyperlink_3589" Type="http://schemas.openxmlformats.org/officeDocument/2006/relationships/hyperlink" Target="https://www.diodes.com/datasheet/download/DMTH4M75SPSWQ.pdf" TargetMode="External"/><Relationship Id="rId_hyperlink_3590" Type="http://schemas.openxmlformats.org/officeDocument/2006/relationships/hyperlink" Target="https://www.diodes.com/part/view/DMTH4M75SPSWQ" TargetMode="External"/><Relationship Id="rId_hyperlink_3591" Type="http://schemas.openxmlformats.org/officeDocument/2006/relationships/hyperlink" Target="https://www.diodes.com/datasheet/download/DMTH4M90LPSW.pdf" TargetMode="External"/><Relationship Id="rId_hyperlink_3592" Type="http://schemas.openxmlformats.org/officeDocument/2006/relationships/hyperlink" Target="https://www.diodes.com/part/view/DMTH4M90LPSW" TargetMode="External"/><Relationship Id="rId_hyperlink_3593" Type="http://schemas.openxmlformats.org/officeDocument/2006/relationships/hyperlink" Target="https://www.diodes.com/datasheet/download/DMTH4M90LPSWQ.pdf" TargetMode="External"/><Relationship Id="rId_hyperlink_3594" Type="http://schemas.openxmlformats.org/officeDocument/2006/relationships/hyperlink" Target="https://www.diodes.com/part/view/DMTH4M90LPSWQ" TargetMode="External"/><Relationship Id="rId_hyperlink_3595" Type="http://schemas.openxmlformats.org/officeDocument/2006/relationships/hyperlink" Target="https://www.diodes.com/datasheet/download/DMTH4M90SPSW.pdf" TargetMode="External"/><Relationship Id="rId_hyperlink_3596" Type="http://schemas.openxmlformats.org/officeDocument/2006/relationships/hyperlink" Target="https://www.diodes.com/part/view/DMTH4M90SPSW" TargetMode="External"/><Relationship Id="rId_hyperlink_3597" Type="http://schemas.openxmlformats.org/officeDocument/2006/relationships/hyperlink" Target="https://www.diodes.com/datasheet/download/DMTH4M90SPSWQ.pdf" TargetMode="External"/><Relationship Id="rId_hyperlink_3598" Type="http://schemas.openxmlformats.org/officeDocument/2006/relationships/hyperlink" Target="https://www.diodes.com/part/view/DMTH4M90SPSWQ" TargetMode="External"/><Relationship Id="rId_hyperlink_3599" Type="http://schemas.openxmlformats.org/officeDocument/2006/relationships/hyperlink" Target="https://www.diodes.com/datasheet/download/DMTH6002LPS.pdf" TargetMode="External"/><Relationship Id="rId_hyperlink_3600" Type="http://schemas.openxmlformats.org/officeDocument/2006/relationships/hyperlink" Target="https://www.diodes.com/part/view/DMTH6002LPS" TargetMode="External"/><Relationship Id="rId_hyperlink_3601" Type="http://schemas.openxmlformats.org/officeDocument/2006/relationships/hyperlink" Target="https://www.diodes.com/datasheet/download/DMTH6002LPSW.pdf" TargetMode="External"/><Relationship Id="rId_hyperlink_3602" Type="http://schemas.openxmlformats.org/officeDocument/2006/relationships/hyperlink" Target="https://www.diodes.com/part/view/DMTH6002LPSW" TargetMode="External"/><Relationship Id="rId_hyperlink_3603" Type="http://schemas.openxmlformats.org/officeDocument/2006/relationships/hyperlink" Target="https://www.diodes.com/datasheet/download/DMTH6002LPSWQ.pdf" TargetMode="External"/><Relationship Id="rId_hyperlink_3604" Type="http://schemas.openxmlformats.org/officeDocument/2006/relationships/hyperlink" Target="https://www.diodes.com/part/view/DMTH6002LPSWQ" TargetMode="External"/><Relationship Id="rId_hyperlink_3605" Type="http://schemas.openxmlformats.org/officeDocument/2006/relationships/hyperlink" Target="https://www.diodes.com/datasheet/download/DMTH6004LPS.pdf" TargetMode="External"/><Relationship Id="rId_hyperlink_3606" Type="http://schemas.openxmlformats.org/officeDocument/2006/relationships/hyperlink" Target="https://www.diodes.com/part/view/DMTH6004LPS" TargetMode="External"/><Relationship Id="rId_hyperlink_3607" Type="http://schemas.openxmlformats.org/officeDocument/2006/relationships/hyperlink" Target="https://www.diodes.com/datasheet/download/DMTH6004LPSQ.pdf" TargetMode="External"/><Relationship Id="rId_hyperlink_3608" Type="http://schemas.openxmlformats.org/officeDocument/2006/relationships/hyperlink" Target="https://www.diodes.com/part/view/DMTH6004LPSQ" TargetMode="External"/><Relationship Id="rId_hyperlink_3609" Type="http://schemas.openxmlformats.org/officeDocument/2006/relationships/hyperlink" Target="https://www.diodes.com/datasheet/download/DMTH6004LPSWQ.pdf" TargetMode="External"/><Relationship Id="rId_hyperlink_3610" Type="http://schemas.openxmlformats.org/officeDocument/2006/relationships/hyperlink" Target="https://www.diodes.com/part/view/DMTH6004LPSWQ" TargetMode="External"/><Relationship Id="rId_hyperlink_3611" Type="http://schemas.openxmlformats.org/officeDocument/2006/relationships/hyperlink" Target="https://www.diodes.com/datasheet/download/DMTH6004SCT.pdf" TargetMode="External"/><Relationship Id="rId_hyperlink_3612" Type="http://schemas.openxmlformats.org/officeDocument/2006/relationships/hyperlink" Target="https://www.diodes.com/part/view/DMTH6004SCT" TargetMode="External"/><Relationship Id="rId_hyperlink_3613" Type="http://schemas.openxmlformats.org/officeDocument/2006/relationships/hyperlink" Target="https://www.diodes.com/datasheet/download/DMTH6004SCTB.pdf" TargetMode="External"/><Relationship Id="rId_hyperlink_3614" Type="http://schemas.openxmlformats.org/officeDocument/2006/relationships/hyperlink" Target="https://www.diodes.com/part/view/DMTH6004SCTB" TargetMode="External"/><Relationship Id="rId_hyperlink_3615" Type="http://schemas.openxmlformats.org/officeDocument/2006/relationships/hyperlink" Target="https://www.diodes.com/datasheet/download/DMTH6004SCTBQ.pdf" TargetMode="External"/><Relationship Id="rId_hyperlink_3616" Type="http://schemas.openxmlformats.org/officeDocument/2006/relationships/hyperlink" Target="https://www.diodes.com/part/view/DMTH6004SCTBQ" TargetMode="External"/><Relationship Id="rId_hyperlink_3617" Type="http://schemas.openxmlformats.org/officeDocument/2006/relationships/hyperlink" Target="https://www.diodes.com/datasheet/download/DMTH6004SK3.pdf" TargetMode="External"/><Relationship Id="rId_hyperlink_3618" Type="http://schemas.openxmlformats.org/officeDocument/2006/relationships/hyperlink" Target="https://www.diodes.com/part/view/DMTH6004SK3" TargetMode="External"/><Relationship Id="rId_hyperlink_3619" Type="http://schemas.openxmlformats.org/officeDocument/2006/relationships/hyperlink" Target="https://www.diodes.com/datasheet/download/DMTH6004SK3Q.pdf" TargetMode="External"/><Relationship Id="rId_hyperlink_3620" Type="http://schemas.openxmlformats.org/officeDocument/2006/relationships/hyperlink" Target="https://www.diodes.com/part/view/DMTH6004SK3Q" TargetMode="External"/><Relationship Id="rId_hyperlink_3621" Type="http://schemas.openxmlformats.org/officeDocument/2006/relationships/hyperlink" Target="https://www.diodes.com/datasheet/download/DMTH6004SPS.pdf" TargetMode="External"/><Relationship Id="rId_hyperlink_3622" Type="http://schemas.openxmlformats.org/officeDocument/2006/relationships/hyperlink" Target="https://www.diodes.com/part/view/DMTH6004SPS" TargetMode="External"/><Relationship Id="rId_hyperlink_3623" Type="http://schemas.openxmlformats.org/officeDocument/2006/relationships/hyperlink" Target="https://www.diodes.com/datasheet/download/DMTH6004SPSQ.pdf" TargetMode="External"/><Relationship Id="rId_hyperlink_3624" Type="http://schemas.openxmlformats.org/officeDocument/2006/relationships/hyperlink" Target="https://www.diodes.com/part/view/DMTH6004SPSQ" TargetMode="External"/><Relationship Id="rId_hyperlink_3625" Type="http://schemas.openxmlformats.org/officeDocument/2006/relationships/hyperlink" Target="https://www.diodes.com/datasheet/download/DMTH6004SPSWQ.pdf" TargetMode="External"/><Relationship Id="rId_hyperlink_3626" Type="http://schemas.openxmlformats.org/officeDocument/2006/relationships/hyperlink" Target="https://www.diodes.com/part/view/DMTH6004SPSWQ" TargetMode="External"/><Relationship Id="rId_hyperlink_3627" Type="http://schemas.openxmlformats.org/officeDocument/2006/relationships/hyperlink" Target="https://www.diodes.com/datasheet/download/DMTH6005LCT.pdf" TargetMode="External"/><Relationship Id="rId_hyperlink_3628" Type="http://schemas.openxmlformats.org/officeDocument/2006/relationships/hyperlink" Target="https://www.diodes.com/part/view/DMTH6005LCT" TargetMode="External"/><Relationship Id="rId_hyperlink_3629" Type="http://schemas.openxmlformats.org/officeDocument/2006/relationships/hyperlink" Target="https://www.diodes.com/datasheet/download/DMTH6005LFG.pdf" TargetMode="External"/><Relationship Id="rId_hyperlink_3630" Type="http://schemas.openxmlformats.org/officeDocument/2006/relationships/hyperlink" Target="https://www.diodes.com/part/view/DMTH6005LFG" TargetMode="External"/><Relationship Id="rId_hyperlink_3631" Type="http://schemas.openxmlformats.org/officeDocument/2006/relationships/hyperlink" Target="https://www.diodes.com/datasheet/download/DMTH6005LFGQ.pdf" TargetMode="External"/><Relationship Id="rId_hyperlink_3632" Type="http://schemas.openxmlformats.org/officeDocument/2006/relationships/hyperlink" Target="https://www.diodes.com/part/view/DMTH6005LFGQ" TargetMode="External"/><Relationship Id="rId_hyperlink_3633" Type="http://schemas.openxmlformats.org/officeDocument/2006/relationships/hyperlink" Target="https://www.diodes.com/datasheet/download/DMTH6005LK3.pdf" TargetMode="External"/><Relationship Id="rId_hyperlink_3634" Type="http://schemas.openxmlformats.org/officeDocument/2006/relationships/hyperlink" Target="https://www.diodes.com/part/view/DMTH6005LK3" TargetMode="External"/><Relationship Id="rId_hyperlink_3635" Type="http://schemas.openxmlformats.org/officeDocument/2006/relationships/hyperlink" Target="https://www.diodes.com/datasheet/download/DMTH6005LK3Q.pdf" TargetMode="External"/><Relationship Id="rId_hyperlink_3636" Type="http://schemas.openxmlformats.org/officeDocument/2006/relationships/hyperlink" Target="https://www.diodes.com/part/view/DMTH6005LK3Q" TargetMode="External"/><Relationship Id="rId_hyperlink_3637" Type="http://schemas.openxmlformats.org/officeDocument/2006/relationships/hyperlink" Target="https://www.diodes.com/datasheet/download/DMTH6005LPS.pdf" TargetMode="External"/><Relationship Id="rId_hyperlink_3638" Type="http://schemas.openxmlformats.org/officeDocument/2006/relationships/hyperlink" Target="https://www.diodes.com/part/view/DMTH6005LPS" TargetMode="External"/><Relationship Id="rId_hyperlink_3639" Type="http://schemas.openxmlformats.org/officeDocument/2006/relationships/hyperlink" Target="https://www.diodes.com/datasheet/download/DMTH6005LPSQ.pdf" TargetMode="External"/><Relationship Id="rId_hyperlink_3640" Type="http://schemas.openxmlformats.org/officeDocument/2006/relationships/hyperlink" Target="https://www.diodes.com/part/view/DMTH6005LPSQ" TargetMode="External"/><Relationship Id="rId_hyperlink_3641" Type="http://schemas.openxmlformats.org/officeDocument/2006/relationships/hyperlink" Target="https://www.diodes.com/datasheet/download/DMTH6005LPSWQ.pdf" TargetMode="External"/><Relationship Id="rId_hyperlink_3642" Type="http://schemas.openxmlformats.org/officeDocument/2006/relationships/hyperlink" Target="https://www.diodes.com/part/view/DMTH6005LPSWQ" TargetMode="External"/><Relationship Id="rId_hyperlink_3643" Type="http://schemas.openxmlformats.org/officeDocument/2006/relationships/hyperlink" Target="https://www.diodes.com/datasheet/download/DMTH6006LPSW.pdf" TargetMode="External"/><Relationship Id="rId_hyperlink_3644" Type="http://schemas.openxmlformats.org/officeDocument/2006/relationships/hyperlink" Target="https://www.diodes.com/part/view/DMTH6006LPSW" TargetMode="External"/><Relationship Id="rId_hyperlink_3645" Type="http://schemas.openxmlformats.org/officeDocument/2006/relationships/hyperlink" Target="https://www.diodes.com/datasheet/download/DMTH6006LPSWQ.pdf" TargetMode="External"/><Relationship Id="rId_hyperlink_3646" Type="http://schemas.openxmlformats.org/officeDocument/2006/relationships/hyperlink" Target="https://www.diodes.com/part/view/DMTH6006LPSWQ" TargetMode="External"/><Relationship Id="rId_hyperlink_3647" Type="http://schemas.openxmlformats.org/officeDocument/2006/relationships/hyperlink" Target="https://www.diodes.com/datasheet/download/DMTH6006SPS.pdf" TargetMode="External"/><Relationship Id="rId_hyperlink_3648" Type="http://schemas.openxmlformats.org/officeDocument/2006/relationships/hyperlink" Target="https://www.diodes.com/part/view/DMTH6006SPS" TargetMode="External"/><Relationship Id="rId_hyperlink_3649" Type="http://schemas.openxmlformats.org/officeDocument/2006/relationships/hyperlink" Target="https://www.diodes.com/datasheet/download/DMTH6009LK3.pdf" TargetMode="External"/><Relationship Id="rId_hyperlink_3650" Type="http://schemas.openxmlformats.org/officeDocument/2006/relationships/hyperlink" Target="https://www.diodes.com/part/view/DMTH6009LK3" TargetMode="External"/><Relationship Id="rId_hyperlink_3651" Type="http://schemas.openxmlformats.org/officeDocument/2006/relationships/hyperlink" Target="https://www.diodes.com/datasheet/download/DMTH6009LK3Q.pdf" TargetMode="External"/><Relationship Id="rId_hyperlink_3652" Type="http://schemas.openxmlformats.org/officeDocument/2006/relationships/hyperlink" Target="https://www.diodes.com/part/view/DMTH6009LK3Q" TargetMode="External"/><Relationship Id="rId_hyperlink_3653" Type="http://schemas.openxmlformats.org/officeDocument/2006/relationships/hyperlink" Target="https://www.diodes.com/datasheet/download/DMTH6009LPS.pdf" TargetMode="External"/><Relationship Id="rId_hyperlink_3654" Type="http://schemas.openxmlformats.org/officeDocument/2006/relationships/hyperlink" Target="https://www.diodes.com/part/view/DMTH6009LPS" TargetMode="External"/><Relationship Id="rId_hyperlink_3655" Type="http://schemas.openxmlformats.org/officeDocument/2006/relationships/hyperlink" Target="https://www.diodes.com/datasheet/download/DMTH6009LPSQ.pdf" TargetMode="External"/><Relationship Id="rId_hyperlink_3656" Type="http://schemas.openxmlformats.org/officeDocument/2006/relationships/hyperlink" Target="https://www.diodes.com/part/view/DMTH6009LPSQ" TargetMode="External"/><Relationship Id="rId_hyperlink_3657" Type="http://schemas.openxmlformats.org/officeDocument/2006/relationships/hyperlink" Target="https://www.diodes.com/datasheet/download/DMTH6009LPSWQ.pdf" TargetMode="External"/><Relationship Id="rId_hyperlink_3658" Type="http://schemas.openxmlformats.org/officeDocument/2006/relationships/hyperlink" Target="https://www.diodes.com/part/view/DMTH6009LPSWQ" TargetMode="External"/><Relationship Id="rId_hyperlink_3659" Type="http://schemas.openxmlformats.org/officeDocument/2006/relationships/hyperlink" Target="https://www.diodes.com/datasheet/download/DMTH6009SPS.pdf" TargetMode="External"/><Relationship Id="rId_hyperlink_3660" Type="http://schemas.openxmlformats.org/officeDocument/2006/relationships/hyperlink" Target="https://www.diodes.com/part/view/DMTH6009SPS" TargetMode="External"/><Relationship Id="rId_hyperlink_3661" Type="http://schemas.openxmlformats.org/officeDocument/2006/relationships/hyperlink" Target="https://www.diodes.com/datasheet/download/DMTH6010LK3.pdf" TargetMode="External"/><Relationship Id="rId_hyperlink_3662" Type="http://schemas.openxmlformats.org/officeDocument/2006/relationships/hyperlink" Target="https://www.diodes.com/part/view/DMTH6010LK3" TargetMode="External"/><Relationship Id="rId_hyperlink_3663" Type="http://schemas.openxmlformats.org/officeDocument/2006/relationships/hyperlink" Target="https://www.diodes.com/datasheet/download/DMTH6010LK3Q.pdf" TargetMode="External"/><Relationship Id="rId_hyperlink_3664" Type="http://schemas.openxmlformats.org/officeDocument/2006/relationships/hyperlink" Target="https://www.diodes.com/part/view/DMTH6010LK3Q" TargetMode="External"/><Relationship Id="rId_hyperlink_3665" Type="http://schemas.openxmlformats.org/officeDocument/2006/relationships/hyperlink" Target="https://www.diodes.com/datasheet/download/DMTH6010LPD.pdf" TargetMode="External"/><Relationship Id="rId_hyperlink_3666" Type="http://schemas.openxmlformats.org/officeDocument/2006/relationships/hyperlink" Target="https://www.diodes.com/part/view/DMTH6010LPD" TargetMode="External"/><Relationship Id="rId_hyperlink_3667" Type="http://schemas.openxmlformats.org/officeDocument/2006/relationships/hyperlink" Target="https://www.diodes.com/datasheet/download/DMTH6010LPDQ.pdf" TargetMode="External"/><Relationship Id="rId_hyperlink_3668" Type="http://schemas.openxmlformats.org/officeDocument/2006/relationships/hyperlink" Target="https://www.diodes.com/part/view/DMTH6010LPDQ" TargetMode="External"/><Relationship Id="rId_hyperlink_3669" Type="http://schemas.openxmlformats.org/officeDocument/2006/relationships/hyperlink" Target="https://www.diodes.com/datasheet/download/DMTH6010LPDW.pdf" TargetMode="External"/><Relationship Id="rId_hyperlink_3670" Type="http://schemas.openxmlformats.org/officeDocument/2006/relationships/hyperlink" Target="https://www.diodes.com/part/view/DMTH6010LPDW" TargetMode="External"/><Relationship Id="rId_hyperlink_3671" Type="http://schemas.openxmlformats.org/officeDocument/2006/relationships/hyperlink" Target="https://www.diodes.com/datasheet/download/DMTH6010LPDWQ.pdf" TargetMode="External"/><Relationship Id="rId_hyperlink_3672" Type="http://schemas.openxmlformats.org/officeDocument/2006/relationships/hyperlink" Target="https://www.diodes.com/part/view/DMTH6010LPDWQ" TargetMode="External"/><Relationship Id="rId_hyperlink_3673" Type="http://schemas.openxmlformats.org/officeDocument/2006/relationships/hyperlink" Target="https://www.diodes.com/datasheet/download/DMTH6010LPS.pdf" TargetMode="External"/><Relationship Id="rId_hyperlink_3674" Type="http://schemas.openxmlformats.org/officeDocument/2006/relationships/hyperlink" Target="https://www.diodes.com/part/view/DMTH6010LPS" TargetMode="External"/><Relationship Id="rId_hyperlink_3675" Type="http://schemas.openxmlformats.org/officeDocument/2006/relationships/hyperlink" Target="https://www.diodes.com/datasheet/download/DMTH6010LPSQ.pdf" TargetMode="External"/><Relationship Id="rId_hyperlink_3676" Type="http://schemas.openxmlformats.org/officeDocument/2006/relationships/hyperlink" Target="https://www.diodes.com/part/view/DMTH6010LPSQ" TargetMode="External"/><Relationship Id="rId_hyperlink_3677" Type="http://schemas.openxmlformats.org/officeDocument/2006/relationships/hyperlink" Target="https://www.diodes.com/datasheet/download/DMTH6010LPSW.pdf" TargetMode="External"/><Relationship Id="rId_hyperlink_3678" Type="http://schemas.openxmlformats.org/officeDocument/2006/relationships/hyperlink" Target="https://www.diodes.com/part/view/DMTH6010LPSW" TargetMode="External"/><Relationship Id="rId_hyperlink_3679" Type="http://schemas.openxmlformats.org/officeDocument/2006/relationships/hyperlink" Target="https://www.diodes.com/datasheet/download/DMTH6010LPSWQ.pdf" TargetMode="External"/><Relationship Id="rId_hyperlink_3680" Type="http://schemas.openxmlformats.org/officeDocument/2006/relationships/hyperlink" Target="https://www.diodes.com/part/view/DMTH6010LPSWQ" TargetMode="External"/><Relationship Id="rId_hyperlink_3681" Type="http://schemas.openxmlformats.org/officeDocument/2006/relationships/hyperlink" Target="https://www.diodes.com/datasheet/download/DMTH6010SCT.pdf" TargetMode="External"/><Relationship Id="rId_hyperlink_3682" Type="http://schemas.openxmlformats.org/officeDocument/2006/relationships/hyperlink" Target="https://www.diodes.com/part/view/DMTH6010SCT" TargetMode="External"/><Relationship Id="rId_hyperlink_3683" Type="http://schemas.openxmlformats.org/officeDocument/2006/relationships/hyperlink" Target="https://www.diodes.com/datasheet/download/DMTH6010SK3.pdf" TargetMode="External"/><Relationship Id="rId_hyperlink_3684" Type="http://schemas.openxmlformats.org/officeDocument/2006/relationships/hyperlink" Target="https://www.diodes.com/part/view/DMTH6010SK3" TargetMode="External"/><Relationship Id="rId_hyperlink_3685" Type="http://schemas.openxmlformats.org/officeDocument/2006/relationships/hyperlink" Target="https://www.diodes.com/datasheet/download/DMTH6010SK3Q.pdf" TargetMode="External"/><Relationship Id="rId_hyperlink_3686" Type="http://schemas.openxmlformats.org/officeDocument/2006/relationships/hyperlink" Target="https://www.diodes.com/part/view/DMTH6010SK3Q" TargetMode="External"/><Relationship Id="rId_hyperlink_3687" Type="http://schemas.openxmlformats.org/officeDocument/2006/relationships/hyperlink" Target="https://www.diodes.com/datasheet/download/DMTH6010SPS.pdf" TargetMode="External"/><Relationship Id="rId_hyperlink_3688" Type="http://schemas.openxmlformats.org/officeDocument/2006/relationships/hyperlink" Target="https://www.diodes.com/part/view/DMTH6010SPS" TargetMode="External"/><Relationship Id="rId_hyperlink_3689" Type="http://schemas.openxmlformats.org/officeDocument/2006/relationships/hyperlink" Target="https://www.diodes.com/datasheet/download/DMTH6012LPSW.pdf" TargetMode="External"/><Relationship Id="rId_hyperlink_3690" Type="http://schemas.openxmlformats.org/officeDocument/2006/relationships/hyperlink" Target="https://www.diodes.com/part/view/DMTH6012LPSW" TargetMode="External"/><Relationship Id="rId_hyperlink_3691" Type="http://schemas.openxmlformats.org/officeDocument/2006/relationships/hyperlink" Target="https://www.diodes.com/datasheet/download/DMTH6012LPSWQ.pdf" TargetMode="External"/><Relationship Id="rId_hyperlink_3692" Type="http://schemas.openxmlformats.org/officeDocument/2006/relationships/hyperlink" Target="https://www.diodes.com/part/view/DMTH6012LPSWQ" TargetMode="External"/><Relationship Id="rId_hyperlink_3693" Type="http://schemas.openxmlformats.org/officeDocument/2006/relationships/hyperlink" Target="https://www.diodes.com/datasheet/download/DMTH6015LDVW.pdf" TargetMode="External"/><Relationship Id="rId_hyperlink_3694" Type="http://schemas.openxmlformats.org/officeDocument/2006/relationships/hyperlink" Target="https://www.diodes.com/part/view/DMTH6015LDVW" TargetMode="External"/><Relationship Id="rId_hyperlink_3695" Type="http://schemas.openxmlformats.org/officeDocument/2006/relationships/hyperlink" Target="https://www.diodes.com/datasheet/download/DMTH6015LDVWQ.pdf" TargetMode="External"/><Relationship Id="rId_hyperlink_3696" Type="http://schemas.openxmlformats.org/officeDocument/2006/relationships/hyperlink" Target="https://www.diodes.com/part/view/DMTH6015LDVWQ" TargetMode="External"/><Relationship Id="rId_hyperlink_3697" Type="http://schemas.openxmlformats.org/officeDocument/2006/relationships/hyperlink" Target="https://www.diodes.com/datasheet/download/DMTH6015LPDW.pdf" TargetMode="External"/><Relationship Id="rId_hyperlink_3698" Type="http://schemas.openxmlformats.org/officeDocument/2006/relationships/hyperlink" Target="https://www.diodes.com/part/view/DMTH6015LPDW" TargetMode="External"/><Relationship Id="rId_hyperlink_3699" Type="http://schemas.openxmlformats.org/officeDocument/2006/relationships/hyperlink" Target="https://www.diodes.com/datasheet/download/DMTH6015LPDWQ.pdf" TargetMode="External"/><Relationship Id="rId_hyperlink_3700" Type="http://schemas.openxmlformats.org/officeDocument/2006/relationships/hyperlink" Target="https://www.diodes.com/part/view/DMTH6015LPDWQ" TargetMode="External"/><Relationship Id="rId_hyperlink_3701" Type="http://schemas.openxmlformats.org/officeDocument/2006/relationships/hyperlink" Target="https://www.diodes.com/datasheet/download/DMTH6016LFDFW.pdf" TargetMode="External"/><Relationship Id="rId_hyperlink_3702" Type="http://schemas.openxmlformats.org/officeDocument/2006/relationships/hyperlink" Target="https://www.diodes.com/part/view/DMTH6016LFDFW" TargetMode="External"/><Relationship Id="rId_hyperlink_3703" Type="http://schemas.openxmlformats.org/officeDocument/2006/relationships/hyperlink" Target="https://www.diodes.com/datasheet/download/DMTH6016LFDFWQ.pdf" TargetMode="External"/><Relationship Id="rId_hyperlink_3704" Type="http://schemas.openxmlformats.org/officeDocument/2006/relationships/hyperlink" Target="https://www.diodes.com/part/view/DMTH6016LFDFWQ" TargetMode="External"/><Relationship Id="rId_hyperlink_3705" Type="http://schemas.openxmlformats.org/officeDocument/2006/relationships/hyperlink" Target="https://www.diodes.com/datasheet/download/DMTH6016LFVW.pdf" TargetMode="External"/><Relationship Id="rId_hyperlink_3706" Type="http://schemas.openxmlformats.org/officeDocument/2006/relationships/hyperlink" Target="https://www.diodes.com/part/view/DMTH6016LFVW" TargetMode="External"/><Relationship Id="rId_hyperlink_3707" Type="http://schemas.openxmlformats.org/officeDocument/2006/relationships/hyperlink" Target="https://www.diodes.com/datasheet/download/DMTH6016LFVWQ.pdf" TargetMode="External"/><Relationship Id="rId_hyperlink_3708" Type="http://schemas.openxmlformats.org/officeDocument/2006/relationships/hyperlink" Target="https://www.diodes.com/part/view/DMTH6016LFVWQ" TargetMode="External"/><Relationship Id="rId_hyperlink_3709" Type="http://schemas.openxmlformats.org/officeDocument/2006/relationships/hyperlink" Target="https://www.diodes.com/datasheet/download/DMTH6016LK3.pdf" TargetMode="External"/><Relationship Id="rId_hyperlink_3710" Type="http://schemas.openxmlformats.org/officeDocument/2006/relationships/hyperlink" Target="https://www.diodes.com/part/view/DMTH6016LK3" TargetMode="External"/><Relationship Id="rId_hyperlink_3711" Type="http://schemas.openxmlformats.org/officeDocument/2006/relationships/hyperlink" Target="https://www.diodes.com/datasheet/download/DMTH6016LK3Q.pdf" TargetMode="External"/><Relationship Id="rId_hyperlink_3712" Type="http://schemas.openxmlformats.org/officeDocument/2006/relationships/hyperlink" Target="https://www.diodes.com/part/view/DMTH6016LK3Q" TargetMode="External"/><Relationship Id="rId_hyperlink_3713" Type="http://schemas.openxmlformats.org/officeDocument/2006/relationships/hyperlink" Target="https://www.diodes.com/datasheet/download/DMTH6016LPD.pdf" TargetMode="External"/><Relationship Id="rId_hyperlink_3714" Type="http://schemas.openxmlformats.org/officeDocument/2006/relationships/hyperlink" Target="https://www.diodes.com/part/view/DMTH6016LPD" TargetMode="External"/><Relationship Id="rId_hyperlink_3715" Type="http://schemas.openxmlformats.org/officeDocument/2006/relationships/hyperlink" Target="https://www.diodes.com/datasheet/download/DMTH6016LPDQ.pdf" TargetMode="External"/><Relationship Id="rId_hyperlink_3716" Type="http://schemas.openxmlformats.org/officeDocument/2006/relationships/hyperlink" Target="https://www.diodes.com/part/view/DMTH6016LPDQ" TargetMode="External"/><Relationship Id="rId_hyperlink_3717" Type="http://schemas.openxmlformats.org/officeDocument/2006/relationships/hyperlink" Target="https://www.diodes.com/datasheet/download/DMTH6016LPDWQ.pdf" TargetMode="External"/><Relationship Id="rId_hyperlink_3718" Type="http://schemas.openxmlformats.org/officeDocument/2006/relationships/hyperlink" Target="https://www.diodes.com/part/view/DMTH6016LPDWQ" TargetMode="External"/><Relationship Id="rId_hyperlink_3719" Type="http://schemas.openxmlformats.org/officeDocument/2006/relationships/hyperlink" Target="https://www.diodes.com/datasheet/download/DMTH6016LPS.pdf" TargetMode="External"/><Relationship Id="rId_hyperlink_3720" Type="http://schemas.openxmlformats.org/officeDocument/2006/relationships/hyperlink" Target="https://www.diodes.com/part/view/DMTH6016LPS" TargetMode="External"/><Relationship Id="rId_hyperlink_3721" Type="http://schemas.openxmlformats.org/officeDocument/2006/relationships/hyperlink" Target="https://www.diodes.com/datasheet/download/DMTH6016LPSQ.pdf" TargetMode="External"/><Relationship Id="rId_hyperlink_3722" Type="http://schemas.openxmlformats.org/officeDocument/2006/relationships/hyperlink" Target="https://www.diodes.com/part/view/DMTH6016LPSQ" TargetMode="External"/><Relationship Id="rId_hyperlink_3723" Type="http://schemas.openxmlformats.org/officeDocument/2006/relationships/hyperlink" Target="https://www.diodes.com/datasheet/download/DMTH6016LPSWQ.pdf" TargetMode="External"/><Relationship Id="rId_hyperlink_3724" Type="http://schemas.openxmlformats.org/officeDocument/2006/relationships/hyperlink" Target="https://www.diodes.com/part/view/DMTH6016LPSWQ" TargetMode="External"/><Relationship Id="rId_hyperlink_3725" Type="http://schemas.openxmlformats.org/officeDocument/2006/relationships/hyperlink" Target="https://www.diodes.com/datasheet/download/DMTH6016LSD.pdf" TargetMode="External"/><Relationship Id="rId_hyperlink_3726" Type="http://schemas.openxmlformats.org/officeDocument/2006/relationships/hyperlink" Target="https://www.diodes.com/part/view/DMTH6016LSD" TargetMode="External"/><Relationship Id="rId_hyperlink_3727" Type="http://schemas.openxmlformats.org/officeDocument/2006/relationships/hyperlink" Target="https://www.diodes.com/datasheet/download/DMTH6016LSDQ.pdf" TargetMode="External"/><Relationship Id="rId_hyperlink_3728" Type="http://schemas.openxmlformats.org/officeDocument/2006/relationships/hyperlink" Target="https://www.diodes.com/part/view/DMTH6016LSDQ" TargetMode="External"/><Relationship Id="rId_hyperlink_3729" Type="http://schemas.openxmlformats.org/officeDocument/2006/relationships/hyperlink" Target="https://www.diodes.com/datasheet/download/DMTH6030LFDFW.pdf" TargetMode="External"/><Relationship Id="rId_hyperlink_3730" Type="http://schemas.openxmlformats.org/officeDocument/2006/relationships/hyperlink" Target="https://www.diodes.com/part/view/DMTH6030LFDFW" TargetMode="External"/><Relationship Id="rId_hyperlink_3731" Type="http://schemas.openxmlformats.org/officeDocument/2006/relationships/hyperlink" Target="https://www.diodes.com/datasheet/download/DMTH6030LFDFWQ.pdf" TargetMode="External"/><Relationship Id="rId_hyperlink_3732" Type="http://schemas.openxmlformats.org/officeDocument/2006/relationships/hyperlink" Target="https://www.diodes.com/part/view/DMTH6030LFDFWQ" TargetMode="External"/><Relationship Id="rId_hyperlink_3733" Type="http://schemas.openxmlformats.org/officeDocument/2006/relationships/hyperlink" Target="https://www.diodes.com/datasheet/download/DMTH61M5SPSW.pdf" TargetMode="External"/><Relationship Id="rId_hyperlink_3734" Type="http://schemas.openxmlformats.org/officeDocument/2006/relationships/hyperlink" Target="https://www.diodes.com/part/view/DMTH61M5SPSW" TargetMode="External"/><Relationship Id="rId_hyperlink_3735" Type="http://schemas.openxmlformats.org/officeDocument/2006/relationships/hyperlink" Target="https://www.diodes.com/datasheet/download/DMTH61M5SPSWQ.pdf" TargetMode="External"/><Relationship Id="rId_hyperlink_3736" Type="http://schemas.openxmlformats.org/officeDocument/2006/relationships/hyperlink" Target="https://www.diodes.com/part/view/DMTH61M5SPSWQ" TargetMode="External"/><Relationship Id="rId_hyperlink_3737" Type="http://schemas.openxmlformats.org/officeDocument/2006/relationships/hyperlink" Target="https://www.diodes.com/datasheet/download/DMTH61M8LPS.pdf" TargetMode="External"/><Relationship Id="rId_hyperlink_3738" Type="http://schemas.openxmlformats.org/officeDocument/2006/relationships/hyperlink" Target="https://www.diodes.com/part/view/DMTH61M8LPS" TargetMode="External"/><Relationship Id="rId_hyperlink_3739" Type="http://schemas.openxmlformats.org/officeDocument/2006/relationships/hyperlink" Target="https://www.diodes.com/datasheet/download/DMTH61M8LPSQ.pdf" TargetMode="External"/><Relationship Id="rId_hyperlink_3740" Type="http://schemas.openxmlformats.org/officeDocument/2006/relationships/hyperlink" Target="https://www.diodes.com/part/view/DMTH61M8LPSQ" TargetMode="External"/><Relationship Id="rId_hyperlink_3741" Type="http://schemas.openxmlformats.org/officeDocument/2006/relationships/hyperlink" Target="https://www.diodes.com/datasheet/download/DMTH61M8SPS.pdf" TargetMode="External"/><Relationship Id="rId_hyperlink_3742" Type="http://schemas.openxmlformats.org/officeDocument/2006/relationships/hyperlink" Target="https://www.diodes.com/part/view/DMTH61M8SPS" TargetMode="External"/><Relationship Id="rId_hyperlink_3743" Type="http://schemas.openxmlformats.org/officeDocument/2006/relationships/hyperlink" Target="https://www.diodes.com/datasheet/download/DMTH61M8SPSQ.pdf" TargetMode="External"/><Relationship Id="rId_hyperlink_3744" Type="http://schemas.openxmlformats.org/officeDocument/2006/relationships/hyperlink" Target="https://www.diodes.com/part/view/DMTH61M8SPSQ" TargetMode="External"/><Relationship Id="rId_hyperlink_3745" Type="http://schemas.openxmlformats.org/officeDocument/2006/relationships/hyperlink" Target="https://www.diodes.com/datasheet/download/DMTH62M7SPSW.pdf" TargetMode="External"/><Relationship Id="rId_hyperlink_3746" Type="http://schemas.openxmlformats.org/officeDocument/2006/relationships/hyperlink" Target="https://www.diodes.com/part/view/DMTH62M7SPSW" TargetMode="External"/><Relationship Id="rId_hyperlink_3747" Type="http://schemas.openxmlformats.org/officeDocument/2006/relationships/hyperlink" Target="https://www.diodes.com/datasheet/download/DMTH62M7SPSWQ.pdf" TargetMode="External"/><Relationship Id="rId_hyperlink_3748" Type="http://schemas.openxmlformats.org/officeDocument/2006/relationships/hyperlink" Target="https://www.diodes.com/part/view/DMTH62M7SPSWQ" TargetMode="External"/><Relationship Id="rId_hyperlink_3749" Type="http://schemas.openxmlformats.org/officeDocument/2006/relationships/hyperlink" Target="https://www.diodes.com/datasheet/download/DMTH62M8LPS.pdf" TargetMode="External"/><Relationship Id="rId_hyperlink_3750" Type="http://schemas.openxmlformats.org/officeDocument/2006/relationships/hyperlink" Target="https://www.diodes.com/part/view/DMTH62M8LPS" TargetMode="External"/><Relationship Id="rId_hyperlink_3751" Type="http://schemas.openxmlformats.org/officeDocument/2006/relationships/hyperlink" Target="https://www.diodes.com/datasheet/download/DMTH62M8SPS.pdf" TargetMode="External"/><Relationship Id="rId_hyperlink_3752" Type="http://schemas.openxmlformats.org/officeDocument/2006/relationships/hyperlink" Target="https://www.diodes.com/part/view/DMTH62M8SPS" TargetMode="External"/><Relationship Id="rId_hyperlink_3753" Type="http://schemas.openxmlformats.org/officeDocument/2006/relationships/hyperlink" Target="https://www.diodes.com/datasheet/download/DMTH63M5LFG.pdf" TargetMode="External"/><Relationship Id="rId_hyperlink_3754" Type="http://schemas.openxmlformats.org/officeDocument/2006/relationships/hyperlink" Target="https://www.diodes.com/part/view/DMTH63M5LFG" TargetMode="External"/><Relationship Id="rId_hyperlink_3755" Type="http://schemas.openxmlformats.org/officeDocument/2006/relationships/hyperlink" Target="https://www.diodes.com/datasheet/download/DMTH63M5LFGQ.pdf" TargetMode="External"/><Relationship Id="rId_hyperlink_3756" Type="http://schemas.openxmlformats.org/officeDocument/2006/relationships/hyperlink" Target="https://www.diodes.com/part/view/DMTH63M5LFGQ" TargetMode="External"/><Relationship Id="rId_hyperlink_3757" Type="http://schemas.openxmlformats.org/officeDocument/2006/relationships/hyperlink" Target="https://www.diodes.com/datasheet/download/DMTH63M6LPSW.pdf" TargetMode="External"/><Relationship Id="rId_hyperlink_3758" Type="http://schemas.openxmlformats.org/officeDocument/2006/relationships/hyperlink" Target="https://www.diodes.com/part/view/DMTH63M6LPSW" TargetMode="External"/><Relationship Id="rId_hyperlink_3759" Type="http://schemas.openxmlformats.org/officeDocument/2006/relationships/hyperlink" Target="https://www.diodes.com/datasheet/download/DMTH63M6LPSWQ.pdf" TargetMode="External"/><Relationship Id="rId_hyperlink_3760" Type="http://schemas.openxmlformats.org/officeDocument/2006/relationships/hyperlink" Target="https://www.diodes.com/part/view/DMTH63M6LPSWQ" TargetMode="External"/><Relationship Id="rId_hyperlink_3761" Type="http://schemas.openxmlformats.org/officeDocument/2006/relationships/hyperlink" Target="https://www.diodes.com/datasheet/download/DMTH69M8LFVW.pdf" TargetMode="External"/><Relationship Id="rId_hyperlink_3762" Type="http://schemas.openxmlformats.org/officeDocument/2006/relationships/hyperlink" Target="https://www.diodes.com/part/view/DMTH69M8LFVW" TargetMode="External"/><Relationship Id="rId_hyperlink_3763" Type="http://schemas.openxmlformats.org/officeDocument/2006/relationships/hyperlink" Target="https://www.diodes.com/datasheet/download/DMTH69M8LFVWQ.pdf" TargetMode="External"/><Relationship Id="rId_hyperlink_3764" Type="http://schemas.openxmlformats.org/officeDocument/2006/relationships/hyperlink" Target="https://www.diodes.com/part/view/DMTH69M8LFVWQ" TargetMode="External"/><Relationship Id="rId_hyperlink_3765" Type="http://schemas.openxmlformats.org/officeDocument/2006/relationships/hyperlink" Target="https://www.diodes.com/datasheet/download/DMTH69M9LPDW.pdf" TargetMode="External"/><Relationship Id="rId_hyperlink_3766" Type="http://schemas.openxmlformats.org/officeDocument/2006/relationships/hyperlink" Target="https://www.diodes.com/part/view/DMTH69M9LPDW" TargetMode="External"/><Relationship Id="rId_hyperlink_3767" Type="http://schemas.openxmlformats.org/officeDocument/2006/relationships/hyperlink" Target="https://www.diodes.com/datasheet/download/DMTH69M9LPDWQ.pdf" TargetMode="External"/><Relationship Id="rId_hyperlink_3768" Type="http://schemas.openxmlformats.org/officeDocument/2006/relationships/hyperlink" Target="https://www.diodes.com/part/view/DMTH69M9LPDWQ" TargetMode="External"/><Relationship Id="rId_hyperlink_3769" Type="http://schemas.openxmlformats.org/officeDocument/2006/relationships/hyperlink" Target="https://www.diodes.com/datasheet/download/DMTH8001STLW.pdf" TargetMode="External"/><Relationship Id="rId_hyperlink_3770" Type="http://schemas.openxmlformats.org/officeDocument/2006/relationships/hyperlink" Target="https://www.diodes.com/part/view/DMTH8001STLW" TargetMode="External"/><Relationship Id="rId_hyperlink_3771" Type="http://schemas.openxmlformats.org/officeDocument/2006/relationships/hyperlink" Target="https://www.diodes.com/datasheet/download/DMTH8001STLWQ.pdf" TargetMode="External"/><Relationship Id="rId_hyperlink_3772" Type="http://schemas.openxmlformats.org/officeDocument/2006/relationships/hyperlink" Target="https://www.diodes.com/part/view/DMTH8001STLWQ" TargetMode="External"/><Relationship Id="rId_hyperlink_3773" Type="http://schemas.openxmlformats.org/officeDocument/2006/relationships/hyperlink" Target="https://www.diodes.com/datasheet/download/DMTH8003SPS.pdf" TargetMode="External"/><Relationship Id="rId_hyperlink_3774" Type="http://schemas.openxmlformats.org/officeDocument/2006/relationships/hyperlink" Target="https://www.diodes.com/part/view/DMTH8003SPS" TargetMode="External"/><Relationship Id="rId_hyperlink_3775" Type="http://schemas.openxmlformats.org/officeDocument/2006/relationships/hyperlink" Target="https://www.diodes.com/datasheet/download/DMTH8003SPSW.pdf" TargetMode="External"/><Relationship Id="rId_hyperlink_3776" Type="http://schemas.openxmlformats.org/officeDocument/2006/relationships/hyperlink" Target="https://www.diodes.com/part/view/DMTH8003SPSW" TargetMode="External"/><Relationship Id="rId_hyperlink_3777" Type="http://schemas.openxmlformats.org/officeDocument/2006/relationships/hyperlink" Target="https://www.diodes.com/datasheet/download/DMTH8003SPSWQ.pdf" TargetMode="External"/><Relationship Id="rId_hyperlink_3778" Type="http://schemas.openxmlformats.org/officeDocument/2006/relationships/hyperlink" Target="https://www.diodes.com/part/view/DMTH8003SPSWQ" TargetMode="External"/><Relationship Id="rId_hyperlink_3779" Type="http://schemas.openxmlformats.org/officeDocument/2006/relationships/hyperlink" Target="https://www.diodes.com/datasheet/download/DMTH8003STLW.pdf" TargetMode="External"/><Relationship Id="rId_hyperlink_3780" Type="http://schemas.openxmlformats.org/officeDocument/2006/relationships/hyperlink" Target="https://www.diodes.com/part/view/DMTH8003STLW" TargetMode="External"/><Relationship Id="rId_hyperlink_3781" Type="http://schemas.openxmlformats.org/officeDocument/2006/relationships/hyperlink" Target="https://www.diodes.com/datasheet/download/DMTH8003STLWQ.pdf" TargetMode="External"/><Relationship Id="rId_hyperlink_3782" Type="http://schemas.openxmlformats.org/officeDocument/2006/relationships/hyperlink" Target="https://www.diodes.com/part/view/DMTH8003STLWQ" TargetMode="External"/><Relationship Id="rId_hyperlink_3783" Type="http://schemas.openxmlformats.org/officeDocument/2006/relationships/hyperlink" Target="https://www.diodes.com/datasheet/download/DMTH8004LPS.pdf" TargetMode="External"/><Relationship Id="rId_hyperlink_3784" Type="http://schemas.openxmlformats.org/officeDocument/2006/relationships/hyperlink" Target="https://www.diodes.com/part/view/DMTH8004LPS" TargetMode="External"/><Relationship Id="rId_hyperlink_3785" Type="http://schemas.openxmlformats.org/officeDocument/2006/relationships/hyperlink" Target="https://www.diodes.com/datasheet/download/DMTH8004LPSW.pdf" TargetMode="External"/><Relationship Id="rId_hyperlink_3786" Type="http://schemas.openxmlformats.org/officeDocument/2006/relationships/hyperlink" Target="https://www.diodes.com/part/view/DMTH8004LPSW" TargetMode="External"/><Relationship Id="rId_hyperlink_3787" Type="http://schemas.openxmlformats.org/officeDocument/2006/relationships/hyperlink" Target="https://www.diodes.com/datasheet/download/DMTH8008LFG.pdf" TargetMode="External"/><Relationship Id="rId_hyperlink_3788" Type="http://schemas.openxmlformats.org/officeDocument/2006/relationships/hyperlink" Target="https://www.diodes.com/part/view/DMTH8008LFG" TargetMode="External"/><Relationship Id="rId_hyperlink_3789" Type="http://schemas.openxmlformats.org/officeDocument/2006/relationships/hyperlink" Target="https://www.diodes.com/datasheet/download/DMTH8008LFGQ.pdf" TargetMode="External"/><Relationship Id="rId_hyperlink_3790" Type="http://schemas.openxmlformats.org/officeDocument/2006/relationships/hyperlink" Target="https://www.diodes.com/part/view/DMTH8008LFGQ" TargetMode="External"/><Relationship Id="rId_hyperlink_3791" Type="http://schemas.openxmlformats.org/officeDocument/2006/relationships/hyperlink" Target="https://www.diodes.com/datasheet/download/DMTH8008LPS.pdf" TargetMode="External"/><Relationship Id="rId_hyperlink_3792" Type="http://schemas.openxmlformats.org/officeDocument/2006/relationships/hyperlink" Target="https://www.diodes.com/part/view/DMTH8008LPS" TargetMode="External"/><Relationship Id="rId_hyperlink_3793" Type="http://schemas.openxmlformats.org/officeDocument/2006/relationships/hyperlink" Target="https://www.diodes.com/datasheet/download/DMTH8008LPSQ.pdf" TargetMode="External"/><Relationship Id="rId_hyperlink_3794" Type="http://schemas.openxmlformats.org/officeDocument/2006/relationships/hyperlink" Target="https://www.diodes.com/part/view/DMTH8008LPSQ" TargetMode="External"/><Relationship Id="rId_hyperlink_3795" Type="http://schemas.openxmlformats.org/officeDocument/2006/relationships/hyperlink" Target="https://www.diodes.com/datasheet/download/DMTH8008LPSWQ.pdf" TargetMode="External"/><Relationship Id="rId_hyperlink_3796" Type="http://schemas.openxmlformats.org/officeDocument/2006/relationships/hyperlink" Target="https://www.diodes.com/part/view/DMTH8008LPSWQ" TargetMode="External"/><Relationship Id="rId_hyperlink_3797" Type="http://schemas.openxmlformats.org/officeDocument/2006/relationships/hyperlink" Target="https://www.diodes.com/datasheet/download/DMTH8008SFG.pdf" TargetMode="External"/><Relationship Id="rId_hyperlink_3798" Type="http://schemas.openxmlformats.org/officeDocument/2006/relationships/hyperlink" Target="https://www.diodes.com/part/view/DMTH8008SFG" TargetMode="External"/><Relationship Id="rId_hyperlink_3799" Type="http://schemas.openxmlformats.org/officeDocument/2006/relationships/hyperlink" Target="https://www.diodes.com/datasheet/download/DMTH8008SFGQ.pdf" TargetMode="External"/><Relationship Id="rId_hyperlink_3800" Type="http://schemas.openxmlformats.org/officeDocument/2006/relationships/hyperlink" Target="https://www.diodes.com/part/view/DMTH8008SFGQ" TargetMode="External"/><Relationship Id="rId_hyperlink_3801" Type="http://schemas.openxmlformats.org/officeDocument/2006/relationships/hyperlink" Target="https://www.diodes.com/datasheet/download/DMTH8008SPS.pdf" TargetMode="External"/><Relationship Id="rId_hyperlink_3802" Type="http://schemas.openxmlformats.org/officeDocument/2006/relationships/hyperlink" Target="https://www.diodes.com/part/view/DMTH8008SPS" TargetMode="External"/><Relationship Id="rId_hyperlink_3803" Type="http://schemas.openxmlformats.org/officeDocument/2006/relationships/hyperlink" Target="https://www.diodes.com/datasheet/download/DMTH8008SPSQ.pdf" TargetMode="External"/><Relationship Id="rId_hyperlink_3804" Type="http://schemas.openxmlformats.org/officeDocument/2006/relationships/hyperlink" Target="https://www.diodes.com/part/view/DMTH8008SPSQ" TargetMode="External"/><Relationship Id="rId_hyperlink_3805" Type="http://schemas.openxmlformats.org/officeDocument/2006/relationships/hyperlink" Target="https://www.diodes.com/datasheet/download/DMTH8008SPSWQ.pdf" TargetMode="External"/><Relationship Id="rId_hyperlink_3806" Type="http://schemas.openxmlformats.org/officeDocument/2006/relationships/hyperlink" Target="https://www.diodes.com/part/view/DMTH8008SPSWQ" TargetMode="External"/><Relationship Id="rId_hyperlink_3807" Type="http://schemas.openxmlformats.org/officeDocument/2006/relationships/hyperlink" Target="https://www.diodes.com/datasheet/download/DMTH8012LK3.pdf" TargetMode="External"/><Relationship Id="rId_hyperlink_3808" Type="http://schemas.openxmlformats.org/officeDocument/2006/relationships/hyperlink" Target="https://www.diodes.com/part/view/DMTH8012LK3" TargetMode="External"/><Relationship Id="rId_hyperlink_3809" Type="http://schemas.openxmlformats.org/officeDocument/2006/relationships/hyperlink" Target="https://www.diodes.com/datasheet/download/DMTH8012LK3Q.pdf" TargetMode="External"/><Relationship Id="rId_hyperlink_3810" Type="http://schemas.openxmlformats.org/officeDocument/2006/relationships/hyperlink" Target="https://www.diodes.com/part/view/DMTH8012LK3Q" TargetMode="External"/><Relationship Id="rId_hyperlink_3811" Type="http://schemas.openxmlformats.org/officeDocument/2006/relationships/hyperlink" Target="https://www.diodes.com/datasheet/download/DMTH8012LPS.pdf" TargetMode="External"/><Relationship Id="rId_hyperlink_3812" Type="http://schemas.openxmlformats.org/officeDocument/2006/relationships/hyperlink" Target="https://www.diodes.com/part/view/DMTH8012LPS" TargetMode="External"/><Relationship Id="rId_hyperlink_3813" Type="http://schemas.openxmlformats.org/officeDocument/2006/relationships/hyperlink" Target="https://www.diodes.com/datasheet/download/DMTH8012LPSQ.pdf" TargetMode="External"/><Relationship Id="rId_hyperlink_3814" Type="http://schemas.openxmlformats.org/officeDocument/2006/relationships/hyperlink" Target="https://www.diodes.com/part/view/DMTH8012LPSQ" TargetMode="External"/><Relationship Id="rId_hyperlink_3815" Type="http://schemas.openxmlformats.org/officeDocument/2006/relationships/hyperlink" Target="https://www.diodes.com/datasheet/download/DMTH8012LPSW.pdf" TargetMode="External"/><Relationship Id="rId_hyperlink_3816" Type="http://schemas.openxmlformats.org/officeDocument/2006/relationships/hyperlink" Target="https://www.diodes.com/part/view/DMTH8012LPSW" TargetMode="External"/><Relationship Id="rId_hyperlink_3817" Type="http://schemas.openxmlformats.org/officeDocument/2006/relationships/hyperlink" Target="https://www.diodes.com/datasheet/download/DMTH8028LFVW.pdf" TargetMode="External"/><Relationship Id="rId_hyperlink_3818" Type="http://schemas.openxmlformats.org/officeDocument/2006/relationships/hyperlink" Target="https://www.diodes.com/part/view/DMTH8028LFVW" TargetMode="External"/><Relationship Id="rId_hyperlink_3819" Type="http://schemas.openxmlformats.org/officeDocument/2006/relationships/hyperlink" Target="https://www.diodes.com/datasheet/download/DMTH8028LFVWQ.pdf" TargetMode="External"/><Relationship Id="rId_hyperlink_3820" Type="http://schemas.openxmlformats.org/officeDocument/2006/relationships/hyperlink" Target="https://www.diodes.com/part/view/DMTH8028LFVWQ" TargetMode="External"/><Relationship Id="rId_hyperlink_3821" Type="http://schemas.openxmlformats.org/officeDocument/2006/relationships/hyperlink" Target="https://www.diodes.com/datasheet/download/DMTH8028LPSW.pdf" TargetMode="External"/><Relationship Id="rId_hyperlink_3822" Type="http://schemas.openxmlformats.org/officeDocument/2006/relationships/hyperlink" Target="https://www.diodes.com/part/view/DMTH8028LPSW" TargetMode="External"/><Relationship Id="rId_hyperlink_3823" Type="http://schemas.openxmlformats.org/officeDocument/2006/relationships/hyperlink" Target="https://www.diodes.com/datasheet/download/DMTH8028LPSWQ.pdf" TargetMode="External"/><Relationship Id="rId_hyperlink_3824" Type="http://schemas.openxmlformats.org/officeDocument/2006/relationships/hyperlink" Target="https://www.diodes.com/part/view/DMTH8028LPSWQ" TargetMode="External"/><Relationship Id="rId_hyperlink_3825" Type="http://schemas.openxmlformats.org/officeDocument/2006/relationships/hyperlink" Target="https://www.diodes.com/datasheet/download/DMTH8030LFDFW.pdf" TargetMode="External"/><Relationship Id="rId_hyperlink_3826" Type="http://schemas.openxmlformats.org/officeDocument/2006/relationships/hyperlink" Target="https://www.diodes.com/part/view/DMTH8030LFDFW" TargetMode="External"/><Relationship Id="rId_hyperlink_3827" Type="http://schemas.openxmlformats.org/officeDocument/2006/relationships/hyperlink" Target="https://www.diodes.com/datasheet/download/DMTH8030LFDFWQ.pdf" TargetMode="External"/><Relationship Id="rId_hyperlink_3828" Type="http://schemas.openxmlformats.org/officeDocument/2006/relationships/hyperlink" Target="https://www.diodes.com/part/view/DMTH8030LFDFWQ" TargetMode="External"/><Relationship Id="rId_hyperlink_3829" Type="http://schemas.openxmlformats.org/officeDocument/2006/relationships/hyperlink" Target="https://www.diodes.com/datasheet/download/DMTH8030LPDW.pdf" TargetMode="External"/><Relationship Id="rId_hyperlink_3830" Type="http://schemas.openxmlformats.org/officeDocument/2006/relationships/hyperlink" Target="https://www.diodes.com/part/view/DMTH8030LPDW" TargetMode="External"/><Relationship Id="rId_hyperlink_3831" Type="http://schemas.openxmlformats.org/officeDocument/2006/relationships/hyperlink" Target="https://www.diodes.com/datasheet/download/DMTH8030LPDWQ.pdf" TargetMode="External"/><Relationship Id="rId_hyperlink_3832" Type="http://schemas.openxmlformats.org/officeDocument/2006/relationships/hyperlink" Target="https://www.diodes.com/part/view/DMTH8030LPDWQ" TargetMode="External"/><Relationship Id="rId_hyperlink_3833" Type="http://schemas.openxmlformats.org/officeDocument/2006/relationships/hyperlink" Target="https://www.diodes.com/datasheet/download/DMTH83M2SPSW.pdf" TargetMode="External"/><Relationship Id="rId_hyperlink_3834" Type="http://schemas.openxmlformats.org/officeDocument/2006/relationships/hyperlink" Target="https://www.diodes.com/part/view/DMTH83M2SPSW" TargetMode="External"/><Relationship Id="rId_hyperlink_3835" Type="http://schemas.openxmlformats.org/officeDocument/2006/relationships/hyperlink" Target="https://www.diodes.com/datasheet/download/DMTH83M2SPSWQ.pdf" TargetMode="External"/><Relationship Id="rId_hyperlink_3836" Type="http://schemas.openxmlformats.org/officeDocument/2006/relationships/hyperlink" Target="https://www.diodes.com/part/view/DMTH83M2SPSWQ" TargetMode="External"/><Relationship Id="rId_hyperlink_3837" Type="http://schemas.openxmlformats.org/officeDocument/2006/relationships/hyperlink" Target="https://www.diodes.com/datasheet/download/DMTH84M1SPS.pdf" TargetMode="External"/><Relationship Id="rId_hyperlink_3838" Type="http://schemas.openxmlformats.org/officeDocument/2006/relationships/hyperlink" Target="https://www.diodes.com/part/view/DMTH84M1SPS" TargetMode="External"/><Relationship Id="rId_hyperlink_3839" Type="http://schemas.openxmlformats.org/officeDocument/2006/relationships/hyperlink" Target="https://www.diodes.com/datasheet/download/DMTH84M1SPSQ.pdf" TargetMode="External"/><Relationship Id="rId_hyperlink_3840" Type="http://schemas.openxmlformats.org/officeDocument/2006/relationships/hyperlink" Target="https://www.diodes.com/part/view/DMTH84M1SPSQ" TargetMode="External"/><Relationship Id="rId_hyperlink_3841" Type="http://schemas.openxmlformats.org/officeDocument/2006/relationships/hyperlink" Target="https://www.diodes.com/datasheet/download/DMTH84M1SPSW.pdf" TargetMode="External"/><Relationship Id="rId_hyperlink_3842" Type="http://schemas.openxmlformats.org/officeDocument/2006/relationships/hyperlink" Target="https://www.diodes.com/part/view/DMTH84M1SPSW" TargetMode="External"/><Relationship Id="rId_hyperlink_3843" Type="http://schemas.openxmlformats.org/officeDocument/2006/relationships/hyperlink" Target="https://www.diodes.com/datasheet/download/DMTH84M1SPSWQ.pdf" TargetMode="External"/><Relationship Id="rId_hyperlink_3844" Type="http://schemas.openxmlformats.org/officeDocument/2006/relationships/hyperlink" Target="https://www.diodes.com/part/view/DMTH84M1SPSWQ" TargetMode="External"/><Relationship Id="rId_hyperlink_3845" Type="http://schemas.openxmlformats.org/officeDocument/2006/relationships/hyperlink" Target="https://www.diodes.com/datasheet/download/DMWS120H100SM4.pdf" TargetMode="External"/><Relationship Id="rId_hyperlink_3846" Type="http://schemas.openxmlformats.org/officeDocument/2006/relationships/hyperlink" Target="https://www.diodes.com/part/view/DMWS120H100SM4" TargetMode="External"/><Relationship Id="rId_hyperlink_3847" Type="http://schemas.openxmlformats.org/officeDocument/2006/relationships/hyperlink" Target="https://www.diodes.com/datasheet/download/DMWSH120H23SM3.pdf" TargetMode="External"/><Relationship Id="rId_hyperlink_3848" Type="http://schemas.openxmlformats.org/officeDocument/2006/relationships/hyperlink" Target="https://www.diodes.com/part/view/DMWSH120H23SM3" TargetMode="External"/><Relationship Id="rId_hyperlink_3849" Type="http://schemas.openxmlformats.org/officeDocument/2006/relationships/hyperlink" Target="https://www.diodes.com/datasheet/download/DMWSH120H23SM4.pdf" TargetMode="External"/><Relationship Id="rId_hyperlink_3850" Type="http://schemas.openxmlformats.org/officeDocument/2006/relationships/hyperlink" Target="https://www.diodes.com/part/view/DMWSH120H23SM4" TargetMode="External"/><Relationship Id="rId_hyperlink_3851" Type="http://schemas.openxmlformats.org/officeDocument/2006/relationships/hyperlink" Target="https://www.diodes.com/datasheet/download/DMWSH120H28SM3.pdf" TargetMode="External"/><Relationship Id="rId_hyperlink_3852" Type="http://schemas.openxmlformats.org/officeDocument/2006/relationships/hyperlink" Target="https://www.diodes.com/part/view/DMWSH120H28SM3" TargetMode="External"/><Relationship Id="rId_hyperlink_3853" Type="http://schemas.openxmlformats.org/officeDocument/2006/relationships/hyperlink" Target="https://www.diodes.com/datasheet/download/DMWSH120H28SM3Q.pdf" TargetMode="External"/><Relationship Id="rId_hyperlink_3854" Type="http://schemas.openxmlformats.org/officeDocument/2006/relationships/hyperlink" Target="https://www.diodes.com/part/view/DMWSH120H28SM3Q" TargetMode="External"/><Relationship Id="rId_hyperlink_3855" Type="http://schemas.openxmlformats.org/officeDocument/2006/relationships/hyperlink" Target="https://www.diodes.com/datasheet/download/DMWSH120H28SM4.pdf" TargetMode="External"/><Relationship Id="rId_hyperlink_3856" Type="http://schemas.openxmlformats.org/officeDocument/2006/relationships/hyperlink" Target="https://www.diodes.com/part/view/DMWSH120H28SM4" TargetMode="External"/><Relationship Id="rId_hyperlink_3857" Type="http://schemas.openxmlformats.org/officeDocument/2006/relationships/hyperlink" Target="https://www.diodes.com/datasheet/download/DMWSH120H28SM4Q.pdf" TargetMode="External"/><Relationship Id="rId_hyperlink_3858" Type="http://schemas.openxmlformats.org/officeDocument/2006/relationships/hyperlink" Target="https://www.diodes.com/part/view/DMWSH120H28SM4Q" TargetMode="External"/><Relationship Id="rId_hyperlink_3859" Type="http://schemas.openxmlformats.org/officeDocument/2006/relationships/hyperlink" Target="https://www.diodes.com/datasheet/download/DMWSH120H43SM3.pdf" TargetMode="External"/><Relationship Id="rId_hyperlink_3860" Type="http://schemas.openxmlformats.org/officeDocument/2006/relationships/hyperlink" Target="https://www.diodes.com/part/view/DMWSH120H43SM3" TargetMode="External"/><Relationship Id="rId_hyperlink_3861" Type="http://schemas.openxmlformats.org/officeDocument/2006/relationships/hyperlink" Target="https://www.diodes.com/datasheet/download/DMWSH120H43SM3Q.pdf" TargetMode="External"/><Relationship Id="rId_hyperlink_3862" Type="http://schemas.openxmlformats.org/officeDocument/2006/relationships/hyperlink" Target="https://www.diodes.com/part/view/DMWSH120H43SM3Q" TargetMode="External"/><Relationship Id="rId_hyperlink_3863" Type="http://schemas.openxmlformats.org/officeDocument/2006/relationships/hyperlink" Target="https://www.diodes.com/datasheet/download/DMWSH120H43SM4.pdf" TargetMode="External"/><Relationship Id="rId_hyperlink_3864" Type="http://schemas.openxmlformats.org/officeDocument/2006/relationships/hyperlink" Target="https://www.diodes.com/part/view/DMWSH120H43SM4" TargetMode="External"/><Relationship Id="rId_hyperlink_3865" Type="http://schemas.openxmlformats.org/officeDocument/2006/relationships/hyperlink" Target="https://www.diodes.com/datasheet/download/DMWSH120H43SM4Q.pdf" TargetMode="External"/><Relationship Id="rId_hyperlink_3866" Type="http://schemas.openxmlformats.org/officeDocument/2006/relationships/hyperlink" Target="https://www.diodes.com/part/view/DMWSH120H43SM4Q" TargetMode="External"/><Relationship Id="rId_hyperlink_3867" Type="http://schemas.openxmlformats.org/officeDocument/2006/relationships/hyperlink" Target="https://www.diodes.com/datasheet/download/DMWSH120H80SM3.pdf" TargetMode="External"/><Relationship Id="rId_hyperlink_3868" Type="http://schemas.openxmlformats.org/officeDocument/2006/relationships/hyperlink" Target="https://www.diodes.com/part/view/DMWSH120H80SM3" TargetMode="External"/><Relationship Id="rId_hyperlink_3869" Type="http://schemas.openxmlformats.org/officeDocument/2006/relationships/hyperlink" Target="https://www.diodes.com/datasheet/download/DMWSH120H80SM4.pdf" TargetMode="External"/><Relationship Id="rId_hyperlink_3870" Type="http://schemas.openxmlformats.org/officeDocument/2006/relationships/hyperlink" Target="https://www.diodes.com/part/view/DMWSH120H80SM4" TargetMode="External"/><Relationship Id="rId_hyperlink_3871" Type="http://schemas.openxmlformats.org/officeDocument/2006/relationships/hyperlink" Target="https://www.diodes.com/datasheet/download/DMWSH120H90SCT7.pdf" TargetMode="External"/><Relationship Id="rId_hyperlink_3872" Type="http://schemas.openxmlformats.org/officeDocument/2006/relationships/hyperlink" Target="https://www.diodes.com/part/view/DMWSH120H90SCT7" TargetMode="External"/><Relationship Id="rId_hyperlink_3873" Type="http://schemas.openxmlformats.org/officeDocument/2006/relationships/hyperlink" Target="https://www.diodes.com/datasheet/download/DMWSH120H90SCT7Q.pdf" TargetMode="External"/><Relationship Id="rId_hyperlink_3874" Type="http://schemas.openxmlformats.org/officeDocument/2006/relationships/hyperlink" Target="https://www.diodes.com/part/view/DMWSH120H90SCT7Q" TargetMode="External"/><Relationship Id="rId_hyperlink_3875" Type="http://schemas.openxmlformats.org/officeDocument/2006/relationships/hyperlink" Target="https://www.diodes.com/datasheet/download/DMWSH120H90SM3.pdf" TargetMode="External"/><Relationship Id="rId_hyperlink_3876" Type="http://schemas.openxmlformats.org/officeDocument/2006/relationships/hyperlink" Target="https://www.diodes.com/part/view/DMWSH120H90SM3" TargetMode="External"/><Relationship Id="rId_hyperlink_3877" Type="http://schemas.openxmlformats.org/officeDocument/2006/relationships/hyperlink" Target="https://www.diodes.com/datasheet/download/DMWSH120H90SM3Q.pdf" TargetMode="External"/><Relationship Id="rId_hyperlink_3878" Type="http://schemas.openxmlformats.org/officeDocument/2006/relationships/hyperlink" Target="https://www.diodes.com/part/view/DMWSH120H90SM3Q" TargetMode="External"/><Relationship Id="rId_hyperlink_3879" Type="http://schemas.openxmlformats.org/officeDocument/2006/relationships/hyperlink" Target="https://www.diodes.com/datasheet/download/DMWSH120H90SM4.pdf" TargetMode="External"/><Relationship Id="rId_hyperlink_3880" Type="http://schemas.openxmlformats.org/officeDocument/2006/relationships/hyperlink" Target="https://www.diodes.com/part/view/DMWSH120H90SM4" TargetMode="External"/><Relationship Id="rId_hyperlink_3881" Type="http://schemas.openxmlformats.org/officeDocument/2006/relationships/hyperlink" Target="https://www.diodes.com/datasheet/download/DMWSH120H90SM4Q.pdf" TargetMode="External"/><Relationship Id="rId_hyperlink_3882" Type="http://schemas.openxmlformats.org/officeDocument/2006/relationships/hyperlink" Target="https://www.diodes.com/part/view/DMWSH120H90SM4Q" TargetMode="External"/><Relationship Id="rId_hyperlink_3883" Type="http://schemas.openxmlformats.org/officeDocument/2006/relationships/hyperlink" Target="https://www.diodes.com/datasheet/download/DTM3A25P20NFDB.pdf" TargetMode="External"/><Relationship Id="rId_hyperlink_3884" Type="http://schemas.openxmlformats.org/officeDocument/2006/relationships/hyperlink" Target="https://www.diodes.com/part/view/DTM3A25P20NFDB" TargetMode="External"/><Relationship Id="rId_hyperlink_3885" Type="http://schemas.openxmlformats.org/officeDocument/2006/relationships/hyperlink" Target="https://www.diodes.com/datasheet/download/MMBF170.pdf" TargetMode="External"/><Relationship Id="rId_hyperlink_3886" Type="http://schemas.openxmlformats.org/officeDocument/2006/relationships/hyperlink" Target="https://www.diodes.com/part/view/MMBF170" TargetMode="External"/><Relationship Id="rId_hyperlink_3887" Type="http://schemas.openxmlformats.org/officeDocument/2006/relationships/hyperlink" Target="https://www.diodes.com/datasheet/download/MMBF170Q.pdf" TargetMode="External"/><Relationship Id="rId_hyperlink_3888" Type="http://schemas.openxmlformats.org/officeDocument/2006/relationships/hyperlink" Target="https://www.diodes.com/part/view/MMBF170Q" TargetMode="External"/><Relationship Id="rId_hyperlink_3889" Type="http://schemas.openxmlformats.org/officeDocument/2006/relationships/hyperlink" Target="https://www.diodes.com/datasheet/download/NMSD200B01.pdf" TargetMode="External"/><Relationship Id="rId_hyperlink_3890" Type="http://schemas.openxmlformats.org/officeDocument/2006/relationships/hyperlink" Target="https://www.diodes.com/part/view/NMSD200B01" TargetMode="External"/><Relationship Id="rId_hyperlink_3891" Type="http://schemas.openxmlformats.org/officeDocument/2006/relationships/hyperlink" Target="https://www.diodes.com/datasheet/download/VN10LF.pdf" TargetMode="External"/><Relationship Id="rId_hyperlink_3892" Type="http://schemas.openxmlformats.org/officeDocument/2006/relationships/hyperlink" Target="https://www.diodes.com/part/view/VN10LF" TargetMode="External"/><Relationship Id="rId_hyperlink_3893" Type="http://schemas.openxmlformats.org/officeDocument/2006/relationships/hyperlink" Target="https://www.diodes.com/datasheet/download/VN10LP.pdf" TargetMode="External"/><Relationship Id="rId_hyperlink_3894" Type="http://schemas.openxmlformats.org/officeDocument/2006/relationships/hyperlink" Target="https://www.diodes.com/part/view/VN10LP" TargetMode="External"/><Relationship Id="rId_hyperlink_3895" Type="http://schemas.openxmlformats.org/officeDocument/2006/relationships/hyperlink" Target="https://www.diodes.com/datasheet/download/ZVN0124A.pdf" TargetMode="External"/><Relationship Id="rId_hyperlink_3896" Type="http://schemas.openxmlformats.org/officeDocument/2006/relationships/hyperlink" Target="https://www.diodes.com/part/view/ZVN0124A" TargetMode="External"/><Relationship Id="rId_hyperlink_3897" Type="http://schemas.openxmlformats.org/officeDocument/2006/relationships/hyperlink" Target="https://www.diodes.com/datasheet/download/ZVN0545A.pdf" TargetMode="External"/><Relationship Id="rId_hyperlink_3898" Type="http://schemas.openxmlformats.org/officeDocument/2006/relationships/hyperlink" Target="https://www.diodes.com/part/view/ZVN0545A" TargetMode="External"/><Relationship Id="rId_hyperlink_3899" Type="http://schemas.openxmlformats.org/officeDocument/2006/relationships/hyperlink" Target="https://www.diodes.com/datasheet/download/ZVN0545G.pdf" TargetMode="External"/><Relationship Id="rId_hyperlink_3900" Type="http://schemas.openxmlformats.org/officeDocument/2006/relationships/hyperlink" Target="https://www.diodes.com/part/view/ZVN0545G" TargetMode="External"/><Relationship Id="rId_hyperlink_3901" Type="http://schemas.openxmlformats.org/officeDocument/2006/relationships/hyperlink" Target="https://www.diodes.com/datasheet/download/ZVN2106A.pdf" TargetMode="External"/><Relationship Id="rId_hyperlink_3902" Type="http://schemas.openxmlformats.org/officeDocument/2006/relationships/hyperlink" Target="https://www.diodes.com/part/view/ZVN2106A" TargetMode="External"/><Relationship Id="rId_hyperlink_3903" Type="http://schemas.openxmlformats.org/officeDocument/2006/relationships/hyperlink" Target="https://www.diodes.com/datasheet/download/ZVN2106G.pdf" TargetMode="External"/><Relationship Id="rId_hyperlink_3904" Type="http://schemas.openxmlformats.org/officeDocument/2006/relationships/hyperlink" Target="https://www.diodes.com/part/view/ZVN2106G" TargetMode="External"/><Relationship Id="rId_hyperlink_3905" Type="http://schemas.openxmlformats.org/officeDocument/2006/relationships/hyperlink" Target="https://www.diodes.com/datasheet/download/ZVN2110A.pdf" TargetMode="External"/><Relationship Id="rId_hyperlink_3906" Type="http://schemas.openxmlformats.org/officeDocument/2006/relationships/hyperlink" Target="https://www.diodes.com/part/view/ZVN2110A" TargetMode="External"/><Relationship Id="rId_hyperlink_3907" Type="http://schemas.openxmlformats.org/officeDocument/2006/relationships/hyperlink" Target="https://www.diodes.com/datasheet/download/ZVN2110G.pdf" TargetMode="External"/><Relationship Id="rId_hyperlink_3908" Type="http://schemas.openxmlformats.org/officeDocument/2006/relationships/hyperlink" Target="https://www.diodes.com/part/view/ZVN2110G" TargetMode="External"/><Relationship Id="rId_hyperlink_3909" Type="http://schemas.openxmlformats.org/officeDocument/2006/relationships/hyperlink" Target="https://www.diodes.com/datasheet/download/ZVN2120G.pdf" TargetMode="External"/><Relationship Id="rId_hyperlink_3910" Type="http://schemas.openxmlformats.org/officeDocument/2006/relationships/hyperlink" Target="https://www.diodes.com/part/view/ZVN2120G" TargetMode="External"/><Relationship Id="rId_hyperlink_3911" Type="http://schemas.openxmlformats.org/officeDocument/2006/relationships/hyperlink" Target="https://www.diodes.com/datasheet/download/ZVN3306A.pdf" TargetMode="External"/><Relationship Id="rId_hyperlink_3912" Type="http://schemas.openxmlformats.org/officeDocument/2006/relationships/hyperlink" Target="https://www.diodes.com/part/view/ZVN3306A" TargetMode="External"/><Relationship Id="rId_hyperlink_3913" Type="http://schemas.openxmlformats.org/officeDocument/2006/relationships/hyperlink" Target="https://www.diodes.com/datasheet/download/ZVN3306F.pdf" TargetMode="External"/><Relationship Id="rId_hyperlink_3914" Type="http://schemas.openxmlformats.org/officeDocument/2006/relationships/hyperlink" Target="https://www.diodes.com/part/view/ZVN3306F" TargetMode="External"/><Relationship Id="rId_hyperlink_3915" Type="http://schemas.openxmlformats.org/officeDocument/2006/relationships/hyperlink" Target="https://www.diodes.com/datasheet/download/ZVN3310A.pdf" TargetMode="External"/><Relationship Id="rId_hyperlink_3916" Type="http://schemas.openxmlformats.org/officeDocument/2006/relationships/hyperlink" Target="https://www.diodes.com/part/view/ZVN3310A" TargetMode="External"/><Relationship Id="rId_hyperlink_3917" Type="http://schemas.openxmlformats.org/officeDocument/2006/relationships/hyperlink" Target="https://www.diodes.com/datasheet/download/ZVN3310F.pdf" TargetMode="External"/><Relationship Id="rId_hyperlink_3918" Type="http://schemas.openxmlformats.org/officeDocument/2006/relationships/hyperlink" Target="https://www.diodes.com/part/view/ZVN3310F" TargetMode="External"/><Relationship Id="rId_hyperlink_3919" Type="http://schemas.openxmlformats.org/officeDocument/2006/relationships/hyperlink" Target="https://www.diodes.com/datasheet/download/ZVN3320F.pdf" TargetMode="External"/><Relationship Id="rId_hyperlink_3920" Type="http://schemas.openxmlformats.org/officeDocument/2006/relationships/hyperlink" Target="https://www.diodes.com/part/view/ZVN3320F" TargetMode="External"/><Relationship Id="rId_hyperlink_3921" Type="http://schemas.openxmlformats.org/officeDocument/2006/relationships/hyperlink" Target="https://www.diodes.com/datasheet/download/ZVN4106F.pdf" TargetMode="External"/><Relationship Id="rId_hyperlink_3922" Type="http://schemas.openxmlformats.org/officeDocument/2006/relationships/hyperlink" Target="https://www.diodes.com/part/view/ZVN4106F" TargetMode="External"/><Relationship Id="rId_hyperlink_3923" Type="http://schemas.openxmlformats.org/officeDocument/2006/relationships/hyperlink" Target="https://www.diodes.com/datasheet/download/ZVN4206A.pdf" TargetMode="External"/><Relationship Id="rId_hyperlink_3924" Type="http://schemas.openxmlformats.org/officeDocument/2006/relationships/hyperlink" Target="https://www.diodes.com/part/view/ZVN4206A" TargetMode="External"/><Relationship Id="rId_hyperlink_3925" Type="http://schemas.openxmlformats.org/officeDocument/2006/relationships/hyperlink" Target="https://www.diodes.com/datasheet/download/ZVN4206AV.pdf" TargetMode="External"/><Relationship Id="rId_hyperlink_3926" Type="http://schemas.openxmlformats.org/officeDocument/2006/relationships/hyperlink" Target="https://www.diodes.com/part/view/ZVN4206AV" TargetMode="External"/><Relationship Id="rId_hyperlink_3927" Type="http://schemas.openxmlformats.org/officeDocument/2006/relationships/hyperlink" Target="https://www.diodes.com/datasheet/download/ZVN4206G.pdf" TargetMode="External"/><Relationship Id="rId_hyperlink_3928" Type="http://schemas.openxmlformats.org/officeDocument/2006/relationships/hyperlink" Target="https://www.diodes.com/part/view/ZVN4206G" TargetMode="External"/><Relationship Id="rId_hyperlink_3929" Type="http://schemas.openxmlformats.org/officeDocument/2006/relationships/hyperlink" Target="https://www.diodes.com/datasheet/download/ZVN4206GV.pdf" TargetMode="External"/><Relationship Id="rId_hyperlink_3930" Type="http://schemas.openxmlformats.org/officeDocument/2006/relationships/hyperlink" Target="https://www.diodes.com/part/view/ZVN4206GV" TargetMode="External"/><Relationship Id="rId_hyperlink_3931" Type="http://schemas.openxmlformats.org/officeDocument/2006/relationships/hyperlink" Target="https://www.diodes.com/datasheet/download/ZVN4210A.pdf" TargetMode="External"/><Relationship Id="rId_hyperlink_3932" Type="http://schemas.openxmlformats.org/officeDocument/2006/relationships/hyperlink" Target="https://www.diodes.com/part/view/ZVN4210A" TargetMode="External"/><Relationship Id="rId_hyperlink_3933" Type="http://schemas.openxmlformats.org/officeDocument/2006/relationships/hyperlink" Target="https://www.diodes.com/datasheet/download/ZVN4210G.pdf" TargetMode="External"/><Relationship Id="rId_hyperlink_3934" Type="http://schemas.openxmlformats.org/officeDocument/2006/relationships/hyperlink" Target="https://www.diodes.com/part/view/ZVN4210G" TargetMode="External"/><Relationship Id="rId_hyperlink_3935" Type="http://schemas.openxmlformats.org/officeDocument/2006/relationships/hyperlink" Target="https://www.diodes.com/datasheet/download/ZVN4306A.pdf" TargetMode="External"/><Relationship Id="rId_hyperlink_3936" Type="http://schemas.openxmlformats.org/officeDocument/2006/relationships/hyperlink" Target="https://www.diodes.com/part/view/ZVN4306A" TargetMode="External"/><Relationship Id="rId_hyperlink_3937" Type="http://schemas.openxmlformats.org/officeDocument/2006/relationships/hyperlink" Target="https://www.diodes.com/datasheet/download/ZVN4306AV.pdf" TargetMode="External"/><Relationship Id="rId_hyperlink_3938" Type="http://schemas.openxmlformats.org/officeDocument/2006/relationships/hyperlink" Target="https://www.diodes.com/part/view/ZVN4306AV" TargetMode="External"/><Relationship Id="rId_hyperlink_3939" Type="http://schemas.openxmlformats.org/officeDocument/2006/relationships/hyperlink" Target="https://www.diodes.com/datasheet/download/ZVN4306G.pdf" TargetMode="External"/><Relationship Id="rId_hyperlink_3940" Type="http://schemas.openxmlformats.org/officeDocument/2006/relationships/hyperlink" Target="https://www.diodes.com/part/view/ZVN4306G" TargetMode="External"/><Relationship Id="rId_hyperlink_3941" Type="http://schemas.openxmlformats.org/officeDocument/2006/relationships/hyperlink" Target="https://www.diodes.com/datasheet/download/ZVN4306GV.pdf" TargetMode="External"/><Relationship Id="rId_hyperlink_3942" Type="http://schemas.openxmlformats.org/officeDocument/2006/relationships/hyperlink" Target="https://www.diodes.com/part/view/ZVN4306GV" TargetMode="External"/><Relationship Id="rId_hyperlink_3943" Type="http://schemas.openxmlformats.org/officeDocument/2006/relationships/hyperlink" Target="https://www.diodes.com/datasheet/download/ZVN4310A.pdf" TargetMode="External"/><Relationship Id="rId_hyperlink_3944" Type="http://schemas.openxmlformats.org/officeDocument/2006/relationships/hyperlink" Target="https://www.diodes.com/part/view/ZVN4310A" TargetMode="External"/><Relationship Id="rId_hyperlink_3945" Type="http://schemas.openxmlformats.org/officeDocument/2006/relationships/hyperlink" Target="https://www.diodes.com/datasheet/download/ZVN4310G.pdf" TargetMode="External"/><Relationship Id="rId_hyperlink_3946" Type="http://schemas.openxmlformats.org/officeDocument/2006/relationships/hyperlink" Target="https://www.diodes.com/part/view/ZVN4310G" TargetMode="External"/><Relationship Id="rId_hyperlink_3947" Type="http://schemas.openxmlformats.org/officeDocument/2006/relationships/hyperlink" Target="https://www.diodes.com/datasheet/download/ZVN4424A.pdf" TargetMode="External"/><Relationship Id="rId_hyperlink_3948" Type="http://schemas.openxmlformats.org/officeDocument/2006/relationships/hyperlink" Target="https://www.diodes.com/part/view/ZVN4424A" TargetMode="External"/><Relationship Id="rId_hyperlink_3949" Type="http://schemas.openxmlformats.org/officeDocument/2006/relationships/hyperlink" Target="https://www.diodes.com/datasheet/download/ZVN4424G.pdf" TargetMode="External"/><Relationship Id="rId_hyperlink_3950" Type="http://schemas.openxmlformats.org/officeDocument/2006/relationships/hyperlink" Target="https://www.diodes.com/part/view/ZVN4424G" TargetMode="External"/><Relationship Id="rId_hyperlink_3951" Type="http://schemas.openxmlformats.org/officeDocument/2006/relationships/hyperlink" Target="https://www.diodes.com/datasheet/download/ZVN4525E6.pdf" TargetMode="External"/><Relationship Id="rId_hyperlink_3952" Type="http://schemas.openxmlformats.org/officeDocument/2006/relationships/hyperlink" Target="https://www.diodes.com/part/view/ZVN4525E6" TargetMode="External"/><Relationship Id="rId_hyperlink_3953" Type="http://schemas.openxmlformats.org/officeDocument/2006/relationships/hyperlink" Target="https://www.diodes.com/datasheet/download/ZVN4525G.pdf" TargetMode="External"/><Relationship Id="rId_hyperlink_3954" Type="http://schemas.openxmlformats.org/officeDocument/2006/relationships/hyperlink" Target="https://www.diodes.com/part/view/ZVN4525G" TargetMode="External"/><Relationship Id="rId_hyperlink_3955" Type="http://schemas.openxmlformats.org/officeDocument/2006/relationships/hyperlink" Target="https://www.diodes.com/datasheet/download/ZVN4525Z.pdf" TargetMode="External"/><Relationship Id="rId_hyperlink_3956" Type="http://schemas.openxmlformats.org/officeDocument/2006/relationships/hyperlink" Target="https://www.diodes.com/part/view/ZVN4525Z" TargetMode="External"/><Relationship Id="rId_hyperlink_3957" Type="http://schemas.openxmlformats.org/officeDocument/2006/relationships/hyperlink" Target="https://www.diodes.com/datasheet/download/ZVNL110A.pdf" TargetMode="External"/><Relationship Id="rId_hyperlink_3958" Type="http://schemas.openxmlformats.org/officeDocument/2006/relationships/hyperlink" Target="https://www.diodes.com/part/view/ZVNL110A" TargetMode="External"/><Relationship Id="rId_hyperlink_3959" Type="http://schemas.openxmlformats.org/officeDocument/2006/relationships/hyperlink" Target="https://www.diodes.com/datasheet/download/ZVNL110G.pdf" TargetMode="External"/><Relationship Id="rId_hyperlink_3960" Type="http://schemas.openxmlformats.org/officeDocument/2006/relationships/hyperlink" Target="https://www.diodes.com/part/view/ZVNL110G" TargetMode="External"/><Relationship Id="rId_hyperlink_3961" Type="http://schemas.openxmlformats.org/officeDocument/2006/relationships/hyperlink" Target="https://www.diodes.com/datasheet/download/ZVNL120A.pdf" TargetMode="External"/><Relationship Id="rId_hyperlink_3962" Type="http://schemas.openxmlformats.org/officeDocument/2006/relationships/hyperlink" Target="https://www.diodes.com/part/view/ZVNL120A" TargetMode="External"/><Relationship Id="rId_hyperlink_3963" Type="http://schemas.openxmlformats.org/officeDocument/2006/relationships/hyperlink" Target="https://www.diodes.com/datasheet/download/ZVNL120G.pdf" TargetMode="External"/><Relationship Id="rId_hyperlink_3964" Type="http://schemas.openxmlformats.org/officeDocument/2006/relationships/hyperlink" Target="https://www.diodes.com/part/view/ZVNL120G" TargetMode="External"/><Relationship Id="rId_hyperlink_3965" Type="http://schemas.openxmlformats.org/officeDocument/2006/relationships/hyperlink" Target="https://www.diodes.com/datasheet/download/ZVP0545A.pdf" TargetMode="External"/><Relationship Id="rId_hyperlink_3966" Type="http://schemas.openxmlformats.org/officeDocument/2006/relationships/hyperlink" Target="https://www.diodes.com/part/view/ZVP0545A" TargetMode="External"/><Relationship Id="rId_hyperlink_3967" Type="http://schemas.openxmlformats.org/officeDocument/2006/relationships/hyperlink" Target="https://www.diodes.com/datasheet/download/ZVP0545G.pdf" TargetMode="External"/><Relationship Id="rId_hyperlink_3968" Type="http://schemas.openxmlformats.org/officeDocument/2006/relationships/hyperlink" Target="https://www.diodes.com/part/view/ZVP0545G" TargetMode="External"/><Relationship Id="rId_hyperlink_3969" Type="http://schemas.openxmlformats.org/officeDocument/2006/relationships/hyperlink" Target="https://www.diodes.com/datasheet/download/ZVP1320F.pdf" TargetMode="External"/><Relationship Id="rId_hyperlink_3970" Type="http://schemas.openxmlformats.org/officeDocument/2006/relationships/hyperlink" Target="https://www.diodes.com/part/view/ZVP1320F" TargetMode="External"/><Relationship Id="rId_hyperlink_3971" Type="http://schemas.openxmlformats.org/officeDocument/2006/relationships/hyperlink" Target="https://www.diodes.com/datasheet/download/ZVP1320FQ.pdf" TargetMode="External"/><Relationship Id="rId_hyperlink_3972" Type="http://schemas.openxmlformats.org/officeDocument/2006/relationships/hyperlink" Target="https://www.diodes.com/part/view/ZVP1320FQ" TargetMode="External"/><Relationship Id="rId_hyperlink_3973" Type="http://schemas.openxmlformats.org/officeDocument/2006/relationships/hyperlink" Target="https://www.diodes.com/datasheet/download/ZVP2106A.pdf" TargetMode="External"/><Relationship Id="rId_hyperlink_3974" Type="http://schemas.openxmlformats.org/officeDocument/2006/relationships/hyperlink" Target="https://www.diodes.com/part/view/ZVP2106A" TargetMode="External"/><Relationship Id="rId_hyperlink_3975" Type="http://schemas.openxmlformats.org/officeDocument/2006/relationships/hyperlink" Target="https://www.diodes.com/datasheet/download/ZVP2106G.pdf" TargetMode="External"/><Relationship Id="rId_hyperlink_3976" Type="http://schemas.openxmlformats.org/officeDocument/2006/relationships/hyperlink" Target="https://www.diodes.com/part/view/ZVP2106G" TargetMode="External"/><Relationship Id="rId_hyperlink_3977" Type="http://schemas.openxmlformats.org/officeDocument/2006/relationships/hyperlink" Target="https://www.diodes.com/datasheet/download/ZVP2110A.pdf" TargetMode="External"/><Relationship Id="rId_hyperlink_3978" Type="http://schemas.openxmlformats.org/officeDocument/2006/relationships/hyperlink" Target="https://www.diodes.com/part/view/ZVP2110A" TargetMode="External"/><Relationship Id="rId_hyperlink_3979" Type="http://schemas.openxmlformats.org/officeDocument/2006/relationships/hyperlink" Target="https://www.diodes.com/datasheet/download/ZVP2110G.pdf" TargetMode="External"/><Relationship Id="rId_hyperlink_3980" Type="http://schemas.openxmlformats.org/officeDocument/2006/relationships/hyperlink" Target="https://www.diodes.com/part/view/ZVP2110G" TargetMode="External"/><Relationship Id="rId_hyperlink_3981" Type="http://schemas.openxmlformats.org/officeDocument/2006/relationships/hyperlink" Target="https://www.diodes.com/datasheet/download/ZVP2120A.pdf" TargetMode="External"/><Relationship Id="rId_hyperlink_3982" Type="http://schemas.openxmlformats.org/officeDocument/2006/relationships/hyperlink" Target="https://www.diodes.com/part/view/ZVP2120A" TargetMode="External"/><Relationship Id="rId_hyperlink_3983" Type="http://schemas.openxmlformats.org/officeDocument/2006/relationships/hyperlink" Target="https://www.diodes.com/datasheet/download/ZVP2120G.pdf" TargetMode="External"/><Relationship Id="rId_hyperlink_3984" Type="http://schemas.openxmlformats.org/officeDocument/2006/relationships/hyperlink" Target="https://www.diodes.com/part/view/ZVP2120G" TargetMode="External"/><Relationship Id="rId_hyperlink_3985" Type="http://schemas.openxmlformats.org/officeDocument/2006/relationships/hyperlink" Target="https://www.diodes.com/datasheet/download/ZVP3306A.pdf" TargetMode="External"/><Relationship Id="rId_hyperlink_3986" Type="http://schemas.openxmlformats.org/officeDocument/2006/relationships/hyperlink" Target="https://www.diodes.com/part/view/ZVP3306A" TargetMode="External"/><Relationship Id="rId_hyperlink_3987" Type="http://schemas.openxmlformats.org/officeDocument/2006/relationships/hyperlink" Target="https://www.diodes.com/datasheet/download/ZVP3306F.pdf" TargetMode="External"/><Relationship Id="rId_hyperlink_3988" Type="http://schemas.openxmlformats.org/officeDocument/2006/relationships/hyperlink" Target="https://www.diodes.com/part/view/ZVP3306F" TargetMode="External"/><Relationship Id="rId_hyperlink_3989" Type="http://schemas.openxmlformats.org/officeDocument/2006/relationships/hyperlink" Target="https://www.diodes.com/datasheet/download/ZVP3310A.pdf" TargetMode="External"/><Relationship Id="rId_hyperlink_3990" Type="http://schemas.openxmlformats.org/officeDocument/2006/relationships/hyperlink" Target="https://www.diodes.com/part/view/ZVP3310A" TargetMode="External"/><Relationship Id="rId_hyperlink_3991" Type="http://schemas.openxmlformats.org/officeDocument/2006/relationships/hyperlink" Target="https://www.diodes.com/datasheet/download/ZVP3310F.pdf" TargetMode="External"/><Relationship Id="rId_hyperlink_3992" Type="http://schemas.openxmlformats.org/officeDocument/2006/relationships/hyperlink" Target="https://www.diodes.com/part/view/ZVP3310F" TargetMode="External"/><Relationship Id="rId_hyperlink_3993" Type="http://schemas.openxmlformats.org/officeDocument/2006/relationships/hyperlink" Target="https://www.diodes.com/datasheet/download/ZVP3310FQ.pdf" TargetMode="External"/><Relationship Id="rId_hyperlink_3994" Type="http://schemas.openxmlformats.org/officeDocument/2006/relationships/hyperlink" Target="https://www.diodes.com/part/view/ZVP3310FQ" TargetMode="External"/><Relationship Id="rId_hyperlink_3995" Type="http://schemas.openxmlformats.org/officeDocument/2006/relationships/hyperlink" Target="https://www.diodes.com/datasheet/download/ZVP4424A.pdf" TargetMode="External"/><Relationship Id="rId_hyperlink_3996" Type="http://schemas.openxmlformats.org/officeDocument/2006/relationships/hyperlink" Target="https://www.diodes.com/part/view/ZVP4424A" TargetMode="External"/><Relationship Id="rId_hyperlink_3997" Type="http://schemas.openxmlformats.org/officeDocument/2006/relationships/hyperlink" Target="https://www.diodes.com/datasheet/download/ZVP4424G.pdf" TargetMode="External"/><Relationship Id="rId_hyperlink_3998" Type="http://schemas.openxmlformats.org/officeDocument/2006/relationships/hyperlink" Target="https://www.diodes.com/part/view/ZVP4424G" TargetMode="External"/><Relationship Id="rId_hyperlink_3999" Type="http://schemas.openxmlformats.org/officeDocument/2006/relationships/hyperlink" Target="https://www.diodes.com/datasheet/download/ZVP4424Z.pdf" TargetMode="External"/><Relationship Id="rId_hyperlink_4000" Type="http://schemas.openxmlformats.org/officeDocument/2006/relationships/hyperlink" Target="https://www.diodes.com/part/view/ZVP4424Z" TargetMode="External"/><Relationship Id="rId_hyperlink_4001" Type="http://schemas.openxmlformats.org/officeDocument/2006/relationships/hyperlink" Target="https://www.diodes.com/datasheet/download/ZVP4525E6.pdf" TargetMode="External"/><Relationship Id="rId_hyperlink_4002" Type="http://schemas.openxmlformats.org/officeDocument/2006/relationships/hyperlink" Target="https://www.diodes.com/part/view/ZVP4525E6" TargetMode="External"/><Relationship Id="rId_hyperlink_4003" Type="http://schemas.openxmlformats.org/officeDocument/2006/relationships/hyperlink" Target="https://www.diodes.com/datasheet/download/ZVP4525G.pdf" TargetMode="External"/><Relationship Id="rId_hyperlink_4004" Type="http://schemas.openxmlformats.org/officeDocument/2006/relationships/hyperlink" Target="https://www.diodes.com/part/view/ZVP4525G" TargetMode="External"/><Relationship Id="rId_hyperlink_4005" Type="http://schemas.openxmlformats.org/officeDocument/2006/relationships/hyperlink" Target="https://www.diodes.com/datasheet/download/ZVP4525GQ.pdf" TargetMode="External"/><Relationship Id="rId_hyperlink_4006" Type="http://schemas.openxmlformats.org/officeDocument/2006/relationships/hyperlink" Target="https://www.diodes.com/part/view/ZVP4525GQ" TargetMode="External"/><Relationship Id="rId_hyperlink_4007" Type="http://schemas.openxmlformats.org/officeDocument/2006/relationships/hyperlink" Target="https://www.diodes.com/datasheet/download/ZVP4525Z.pdf" TargetMode="External"/><Relationship Id="rId_hyperlink_4008" Type="http://schemas.openxmlformats.org/officeDocument/2006/relationships/hyperlink" Target="https://www.diodes.com/part/view/ZVP4525Z" TargetMode="External"/><Relationship Id="rId_hyperlink_4009" Type="http://schemas.openxmlformats.org/officeDocument/2006/relationships/hyperlink" Target="https://www.diodes.com/datasheet/download/ZXM61N02F.pdf" TargetMode="External"/><Relationship Id="rId_hyperlink_4010" Type="http://schemas.openxmlformats.org/officeDocument/2006/relationships/hyperlink" Target="https://www.diodes.com/part/view/ZXM61N02F" TargetMode="External"/><Relationship Id="rId_hyperlink_4011" Type="http://schemas.openxmlformats.org/officeDocument/2006/relationships/hyperlink" Target="https://www.diodes.com/datasheet/download/ZXM61N03F.pdf" TargetMode="External"/><Relationship Id="rId_hyperlink_4012" Type="http://schemas.openxmlformats.org/officeDocument/2006/relationships/hyperlink" Target="https://www.diodes.com/part/view/ZXM61N03F" TargetMode="External"/><Relationship Id="rId_hyperlink_4013" Type="http://schemas.openxmlformats.org/officeDocument/2006/relationships/hyperlink" Target="https://www.diodes.com/datasheet/download/ZXM61P02F.pdf" TargetMode="External"/><Relationship Id="rId_hyperlink_4014" Type="http://schemas.openxmlformats.org/officeDocument/2006/relationships/hyperlink" Target="https://www.diodes.com/part/view/ZXM61P02F" TargetMode="External"/><Relationship Id="rId_hyperlink_4015" Type="http://schemas.openxmlformats.org/officeDocument/2006/relationships/hyperlink" Target="https://www.diodes.com/datasheet/download/ZXM61P03F.pdf" TargetMode="External"/><Relationship Id="rId_hyperlink_4016" Type="http://schemas.openxmlformats.org/officeDocument/2006/relationships/hyperlink" Target="https://www.diodes.com/part/view/ZXM61P03F" TargetMode="External"/><Relationship Id="rId_hyperlink_4017" Type="http://schemas.openxmlformats.org/officeDocument/2006/relationships/hyperlink" Target="https://www.diodes.com/datasheet/download/ZXM62P02E6.pdf" TargetMode="External"/><Relationship Id="rId_hyperlink_4018" Type="http://schemas.openxmlformats.org/officeDocument/2006/relationships/hyperlink" Target="https://www.diodes.com/part/view/ZXM62P02E6" TargetMode="External"/><Relationship Id="rId_hyperlink_4019" Type="http://schemas.openxmlformats.org/officeDocument/2006/relationships/hyperlink" Target="https://www.diodes.com/datasheet/download/ZXM62P03E6.pdf" TargetMode="External"/><Relationship Id="rId_hyperlink_4020" Type="http://schemas.openxmlformats.org/officeDocument/2006/relationships/hyperlink" Target="https://www.diodes.com/part/view/ZXM62P03E6" TargetMode="External"/><Relationship Id="rId_hyperlink_4021" Type="http://schemas.openxmlformats.org/officeDocument/2006/relationships/hyperlink" Target="https://www.diodes.com/datasheet/download/ZXM64P02X.pdf" TargetMode="External"/><Relationship Id="rId_hyperlink_4022" Type="http://schemas.openxmlformats.org/officeDocument/2006/relationships/hyperlink" Target="https://www.diodes.com/part/view/ZXM64P02X" TargetMode="External"/><Relationship Id="rId_hyperlink_4023" Type="http://schemas.openxmlformats.org/officeDocument/2006/relationships/hyperlink" Target="https://www.diodes.com/datasheet/download/ZXM64P03X.pdf" TargetMode="External"/><Relationship Id="rId_hyperlink_4024" Type="http://schemas.openxmlformats.org/officeDocument/2006/relationships/hyperlink" Target="https://www.diodes.com/part/view/ZXM64P03X" TargetMode="External"/><Relationship Id="rId_hyperlink_4025" Type="http://schemas.openxmlformats.org/officeDocument/2006/relationships/hyperlink" Target="https://www.diodes.com/datasheet/download/ZXMC3A16DN8.pdf" TargetMode="External"/><Relationship Id="rId_hyperlink_4026" Type="http://schemas.openxmlformats.org/officeDocument/2006/relationships/hyperlink" Target="https://www.diodes.com/part/view/ZXMC3A16DN8" TargetMode="External"/><Relationship Id="rId_hyperlink_4027" Type="http://schemas.openxmlformats.org/officeDocument/2006/relationships/hyperlink" Target="https://www.diodes.com/datasheet/download/ZXMC3A16DN8Q.pdf" TargetMode="External"/><Relationship Id="rId_hyperlink_4028" Type="http://schemas.openxmlformats.org/officeDocument/2006/relationships/hyperlink" Target="https://www.diodes.com/part/view/ZXMC3A16DN8Q" TargetMode="External"/><Relationship Id="rId_hyperlink_4029" Type="http://schemas.openxmlformats.org/officeDocument/2006/relationships/hyperlink" Target="https://www.diodes.com/datasheet/download/ZXMC3A17DN8.pdf" TargetMode="External"/><Relationship Id="rId_hyperlink_4030" Type="http://schemas.openxmlformats.org/officeDocument/2006/relationships/hyperlink" Target="https://www.diodes.com/part/view/ZXMC3A17DN8" TargetMode="External"/><Relationship Id="rId_hyperlink_4031" Type="http://schemas.openxmlformats.org/officeDocument/2006/relationships/hyperlink" Target="https://www.diodes.com/datasheet/download/ZXMC3A18DN8.pdf" TargetMode="External"/><Relationship Id="rId_hyperlink_4032" Type="http://schemas.openxmlformats.org/officeDocument/2006/relationships/hyperlink" Target="https://www.diodes.com/part/view/ZXMC3A18DN8" TargetMode="External"/><Relationship Id="rId_hyperlink_4033" Type="http://schemas.openxmlformats.org/officeDocument/2006/relationships/hyperlink" Target="https://www.diodes.com/datasheet/download/ZXMC3AMC.pdf" TargetMode="External"/><Relationship Id="rId_hyperlink_4034" Type="http://schemas.openxmlformats.org/officeDocument/2006/relationships/hyperlink" Target="https://www.diodes.com/part/view/ZXMC3AMC" TargetMode="External"/><Relationship Id="rId_hyperlink_4035" Type="http://schemas.openxmlformats.org/officeDocument/2006/relationships/hyperlink" Target="https://www.diodes.com/datasheet/download/ZXMC3F31DN8.pdf" TargetMode="External"/><Relationship Id="rId_hyperlink_4036" Type="http://schemas.openxmlformats.org/officeDocument/2006/relationships/hyperlink" Target="https://www.diodes.com/part/view/ZXMC3F31DN8" TargetMode="External"/><Relationship Id="rId_hyperlink_4037" Type="http://schemas.openxmlformats.org/officeDocument/2006/relationships/hyperlink" Target="https://www.diodes.com/datasheet/download/ZXMC4559DN8.pdf" TargetMode="External"/><Relationship Id="rId_hyperlink_4038" Type="http://schemas.openxmlformats.org/officeDocument/2006/relationships/hyperlink" Target="https://www.diodes.com/part/view/ZXMC4559DN8" TargetMode="External"/><Relationship Id="rId_hyperlink_4039" Type="http://schemas.openxmlformats.org/officeDocument/2006/relationships/hyperlink" Target="https://www.diodes.com/datasheet/download/ZXMC4A16DN8.pdf" TargetMode="External"/><Relationship Id="rId_hyperlink_4040" Type="http://schemas.openxmlformats.org/officeDocument/2006/relationships/hyperlink" Target="https://www.diodes.com/part/view/ZXMC4A16DN8" TargetMode="External"/><Relationship Id="rId_hyperlink_4041" Type="http://schemas.openxmlformats.org/officeDocument/2006/relationships/hyperlink" Target="https://www.diodes.com/datasheet/download/ZXMC6A09DN8.pdf" TargetMode="External"/><Relationship Id="rId_hyperlink_4042" Type="http://schemas.openxmlformats.org/officeDocument/2006/relationships/hyperlink" Target="https://www.diodes.com/part/view/ZXMC6A09DN8" TargetMode="External"/><Relationship Id="rId_hyperlink_4043" Type="http://schemas.openxmlformats.org/officeDocument/2006/relationships/hyperlink" Target="https://www.diodes.com/datasheet/download/ZXMD63N03X.pdf" TargetMode="External"/><Relationship Id="rId_hyperlink_4044" Type="http://schemas.openxmlformats.org/officeDocument/2006/relationships/hyperlink" Target="https://www.diodes.com/part/view/ZXMD63N03X" TargetMode="External"/><Relationship Id="rId_hyperlink_4045" Type="http://schemas.openxmlformats.org/officeDocument/2006/relationships/hyperlink" Target="https://www.diodes.com/datasheet/download/ZXMHC10A07N8.pdf" TargetMode="External"/><Relationship Id="rId_hyperlink_4046" Type="http://schemas.openxmlformats.org/officeDocument/2006/relationships/hyperlink" Target="https://www.diodes.com/part/view/ZXMHC10A07N8" TargetMode="External"/><Relationship Id="rId_hyperlink_4047" Type="http://schemas.openxmlformats.org/officeDocument/2006/relationships/hyperlink" Target="https://www.diodes.com/datasheet/download/ZXMHC10A07T8.pdf" TargetMode="External"/><Relationship Id="rId_hyperlink_4048" Type="http://schemas.openxmlformats.org/officeDocument/2006/relationships/hyperlink" Target="https://www.diodes.com/part/view/ZXMHC10A07T8" TargetMode="External"/><Relationship Id="rId_hyperlink_4049" Type="http://schemas.openxmlformats.org/officeDocument/2006/relationships/hyperlink" Target="https://www.diodes.com/datasheet/download/ZXMHC3A01N8.pdf" TargetMode="External"/><Relationship Id="rId_hyperlink_4050" Type="http://schemas.openxmlformats.org/officeDocument/2006/relationships/hyperlink" Target="https://www.diodes.com/part/view/ZXMHC3A01N8" TargetMode="External"/><Relationship Id="rId_hyperlink_4051" Type="http://schemas.openxmlformats.org/officeDocument/2006/relationships/hyperlink" Target="https://www.diodes.com/datasheet/download/ZXMHC3A01T8.pdf" TargetMode="External"/><Relationship Id="rId_hyperlink_4052" Type="http://schemas.openxmlformats.org/officeDocument/2006/relationships/hyperlink" Target="https://www.diodes.com/part/view/ZXMHC3A01T8" TargetMode="External"/><Relationship Id="rId_hyperlink_4053" Type="http://schemas.openxmlformats.org/officeDocument/2006/relationships/hyperlink" Target="https://www.diodes.com/datasheet/download/ZXMHC3F381N8.pdf" TargetMode="External"/><Relationship Id="rId_hyperlink_4054" Type="http://schemas.openxmlformats.org/officeDocument/2006/relationships/hyperlink" Target="https://www.diodes.com/part/view/ZXMHC3F381N8" TargetMode="External"/><Relationship Id="rId_hyperlink_4055" Type="http://schemas.openxmlformats.org/officeDocument/2006/relationships/hyperlink" Target="https://www.diodes.com/datasheet/download/ZXMHC6A07N8.pdf" TargetMode="External"/><Relationship Id="rId_hyperlink_4056" Type="http://schemas.openxmlformats.org/officeDocument/2006/relationships/hyperlink" Target="https://www.diodes.com/part/view/ZXMHC6A07N8" TargetMode="External"/><Relationship Id="rId_hyperlink_4057" Type="http://schemas.openxmlformats.org/officeDocument/2006/relationships/hyperlink" Target="https://www.diodes.com/datasheet/download/ZXMHC6A07T8.pdf" TargetMode="External"/><Relationship Id="rId_hyperlink_4058" Type="http://schemas.openxmlformats.org/officeDocument/2006/relationships/hyperlink" Target="https://www.diodes.com/part/view/ZXMHC6A07T8" TargetMode="External"/><Relationship Id="rId_hyperlink_4059" Type="http://schemas.openxmlformats.org/officeDocument/2006/relationships/hyperlink" Target="https://www.diodes.com/datasheet/download/ZXMHN6A07T8.pdf" TargetMode="External"/><Relationship Id="rId_hyperlink_4060" Type="http://schemas.openxmlformats.org/officeDocument/2006/relationships/hyperlink" Target="https://www.diodes.com/part/view/ZXMHN6A07T8" TargetMode="External"/><Relationship Id="rId_hyperlink_4061" Type="http://schemas.openxmlformats.org/officeDocument/2006/relationships/hyperlink" Target="https://www.diodes.com/datasheet/download/ZXMN10A07F.pdf" TargetMode="External"/><Relationship Id="rId_hyperlink_4062" Type="http://schemas.openxmlformats.org/officeDocument/2006/relationships/hyperlink" Target="https://www.diodes.com/part/view/ZXMN10A07F" TargetMode="External"/><Relationship Id="rId_hyperlink_4063" Type="http://schemas.openxmlformats.org/officeDocument/2006/relationships/hyperlink" Target="https://www.diodes.com/datasheet/download/ZXMN10A07Z.pdf" TargetMode="External"/><Relationship Id="rId_hyperlink_4064" Type="http://schemas.openxmlformats.org/officeDocument/2006/relationships/hyperlink" Target="https://www.diodes.com/part/view/ZXMN10A07Z" TargetMode="External"/><Relationship Id="rId_hyperlink_4065" Type="http://schemas.openxmlformats.org/officeDocument/2006/relationships/hyperlink" Target="https://www.diodes.com/datasheet/download/ZXMN10A08DN8.pdf" TargetMode="External"/><Relationship Id="rId_hyperlink_4066" Type="http://schemas.openxmlformats.org/officeDocument/2006/relationships/hyperlink" Target="https://www.diodes.com/part/view/ZXMN10A08DN8" TargetMode="External"/><Relationship Id="rId_hyperlink_4067" Type="http://schemas.openxmlformats.org/officeDocument/2006/relationships/hyperlink" Target="https://www.diodes.com/datasheet/download/ZXMN10A08E6.pdf" TargetMode="External"/><Relationship Id="rId_hyperlink_4068" Type="http://schemas.openxmlformats.org/officeDocument/2006/relationships/hyperlink" Target="https://www.diodes.com/part/view/ZXMN10A08E6" TargetMode="External"/><Relationship Id="rId_hyperlink_4069" Type="http://schemas.openxmlformats.org/officeDocument/2006/relationships/hyperlink" Target="https://www.diodes.com/datasheet/download/ZXMN10A08G.pdf" TargetMode="External"/><Relationship Id="rId_hyperlink_4070" Type="http://schemas.openxmlformats.org/officeDocument/2006/relationships/hyperlink" Target="https://www.diodes.com/part/view/ZXMN10A08G" TargetMode="External"/><Relationship Id="rId_hyperlink_4071" Type="http://schemas.openxmlformats.org/officeDocument/2006/relationships/hyperlink" Target="https://www.diodes.com/datasheet/download/ZXMN10A09K.pdf" TargetMode="External"/><Relationship Id="rId_hyperlink_4072" Type="http://schemas.openxmlformats.org/officeDocument/2006/relationships/hyperlink" Target="https://www.diodes.com/part/view/ZXMN10A09K" TargetMode="External"/><Relationship Id="rId_hyperlink_4073" Type="http://schemas.openxmlformats.org/officeDocument/2006/relationships/hyperlink" Target="https://www.diodes.com/datasheet/download/ZXMN10A11G.pdf" TargetMode="External"/><Relationship Id="rId_hyperlink_4074" Type="http://schemas.openxmlformats.org/officeDocument/2006/relationships/hyperlink" Target="https://www.diodes.com/part/view/ZXMN10A11G" TargetMode="External"/><Relationship Id="rId_hyperlink_4075" Type="http://schemas.openxmlformats.org/officeDocument/2006/relationships/hyperlink" Target="https://www.diodes.com/datasheet/download/ZXMN10A11K.pdf" TargetMode="External"/><Relationship Id="rId_hyperlink_4076" Type="http://schemas.openxmlformats.org/officeDocument/2006/relationships/hyperlink" Target="https://www.diodes.com/part/view/ZXMN10A11K" TargetMode="External"/><Relationship Id="rId_hyperlink_4077" Type="http://schemas.openxmlformats.org/officeDocument/2006/relationships/hyperlink" Target="https://www.diodes.com/datasheet/download/ZXMN10A25G.pdf" TargetMode="External"/><Relationship Id="rId_hyperlink_4078" Type="http://schemas.openxmlformats.org/officeDocument/2006/relationships/hyperlink" Target="https://www.diodes.com/part/view/ZXMN10A25G" TargetMode="External"/><Relationship Id="rId_hyperlink_4079" Type="http://schemas.openxmlformats.org/officeDocument/2006/relationships/hyperlink" Target="https://www.diodes.com/datasheet/download/ZXMN10A25K.pdf" TargetMode="External"/><Relationship Id="rId_hyperlink_4080" Type="http://schemas.openxmlformats.org/officeDocument/2006/relationships/hyperlink" Target="https://www.diodes.com/part/view/ZXMN10A25K" TargetMode="External"/><Relationship Id="rId_hyperlink_4081" Type="http://schemas.openxmlformats.org/officeDocument/2006/relationships/hyperlink" Target="https://www.diodes.com/datasheet/download/ZXMN10B08E6.pdf" TargetMode="External"/><Relationship Id="rId_hyperlink_4082" Type="http://schemas.openxmlformats.org/officeDocument/2006/relationships/hyperlink" Target="https://www.diodes.com/part/view/ZXMN10B08E6" TargetMode="External"/><Relationship Id="rId_hyperlink_4083" Type="http://schemas.openxmlformats.org/officeDocument/2006/relationships/hyperlink" Target="https://www.diodes.com/datasheet/download/ZXMN15A27K.pdf" TargetMode="External"/><Relationship Id="rId_hyperlink_4084" Type="http://schemas.openxmlformats.org/officeDocument/2006/relationships/hyperlink" Target="https://www.diodes.com/part/view/ZXMN15A27K" TargetMode="External"/><Relationship Id="rId_hyperlink_4085" Type="http://schemas.openxmlformats.org/officeDocument/2006/relationships/hyperlink" Target="https://www.diodes.com/datasheet/download/ZXMN20B28K.pdf" TargetMode="External"/><Relationship Id="rId_hyperlink_4086" Type="http://schemas.openxmlformats.org/officeDocument/2006/relationships/hyperlink" Target="https://www.diodes.com/part/view/ZXMN20B28K" TargetMode="External"/><Relationship Id="rId_hyperlink_4087" Type="http://schemas.openxmlformats.org/officeDocument/2006/relationships/hyperlink" Target="https://www.diodes.com/datasheet/download/ZXMN2A01E6.pdf" TargetMode="External"/><Relationship Id="rId_hyperlink_4088" Type="http://schemas.openxmlformats.org/officeDocument/2006/relationships/hyperlink" Target="https://www.diodes.com/part/view/ZXMN2A01E6" TargetMode="External"/><Relationship Id="rId_hyperlink_4089" Type="http://schemas.openxmlformats.org/officeDocument/2006/relationships/hyperlink" Target="https://www.diodes.com/datasheet/download/ZXMN2A01F.pdf" TargetMode="External"/><Relationship Id="rId_hyperlink_4090" Type="http://schemas.openxmlformats.org/officeDocument/2006/relationships/hyperlink" Target="https://www.diodes.com/part/view/ZXMN2A01F" TargetMode="External"/><Relationship Id="rId_hyperlink_4091" Type="http://schemas.openxmlformats.org/officeDocument/2006/relationships/hyperlink" Target="https://www.diodes.com/datasheet/download/ZXMN2A02N8.pdf" TargetMode="External"/><Relationship Id="rId_hyperlink_4092" Type="http://schemas.openxmlformats.org/officeDocument/2006/relationships/hyperlink" Target="https://www.diodes.com/part/view/ZXMN2A02N8" TargetMode="External"/><Relationship Id="rId_hyperlink_4093" Type="http://schemas.openxmlformats.org/officeDocument/2006/relationships/hyperlink" Target="https://www.diodes.com/datasheet/download/ZXMN2A03E6.pdf" TargetMode="External"/><Relationship Id="rId_hyperlink_4094" Type="http://schemas.openxmlformats.org/officeDocument/2006/relationships/hyperlink" Target="https://www.diodes.com/part/view/ZXMN2A03E6" TargetMode="External"/><Relationship Id="rId_hyperlink_4095" Type="http://schemas.openxmlformats.org/officeDocument/2006/relationships/hyperlink" Target="https://www.diodes.com/datasheet/download/ZXMN2A04DN8.pdf" TargetMode="External"/><Relationship Id="rId_hyperlink_4096" Type="http://schemas.openxmlformats.org/officeDocument/2006/relationships/hyperlink" Target="https://www.diodes.com/part/view/ZXMN2A04DN8" TargetMode="External"/><Relationship Id="rId_hyperlink_4097" Type="http://schemas.openxmlformats.org/officeDocument/2006/relationships/hyperlink" Target="https://www.diodes.com/datasheet/download/ZXMN2A14F.pdf" TargetMode="External"/><Relationship Id="rId_hyperlink_4098" Type="http://schemas.openxmlformats.org/officeDocument/2006/relationships/hyperlink" Target="https://www.diodes.com/part/view/ZXMN2A14F" TargetMode="External"/><Relationship Id="rId_hyperlink_4099" Type="http://schemas.openxmlformats.org/officeDocument/2006/relationships/hyperlink" Target="https://www.diodes.com/datasheet/download/ZXMN2AMC.pdf" TargetMode="External"/><Relationship Id="rId_hyperlink_4100" Type="http://schemas.openxmlformats.org/officeDocument/2006/relationships/hyperlink" Target="https://www.diodes.com/part/view/ZXMN2AMC" TargetMode="External"/><Relationship Id="rId_hyperlink_4101" Type="http://schemas.openxmlformats.org/officeDocument/2006/relationships/hyperlink" Target="https://www.diodes.com/datasheet/download/ZXMN2B01F.pdf" TargetMode="External"/><Relationship Id="rId_hyperlink_4102" Type="http://schemas.openxmlformats.org/officeDocument/2006/relationships/hyperlink" Target="https://www.diodes.com/part/view/ZXMN2B01F" TargetMode="External"/><Relationship Id="rId_hyperlink_4103" Type="http://schemas.openxmlformats.org/officeDocument/2006/relationships/hyperlink" Target="https://www.diodes.com/datasheet/download/ZXMN2B03E6.pdf" TargetMode="External"/><Relationship Id="rId_hyperlink_4104" Type="http://schemas.openxmlformats.org/officeDocument/2006/relationships/hyperlink" Target="https://www.diodes.com/part/view/ZXMN2B03E6" TargetMode="External"/><Relationship Id="rId_hyperlink_4105" Type="http://schemas.openxmlformats.org/officeDocument/2006/relationships/hyperlink" Target="https://www.diodes.com/datasheet/download/ZXMN2B14FH.pdf" TargetMode="External"/><Relationship Id="rId_hyperlink_4106" Type="http://schemas.openxmlformats.org/officeDocument/2006/relationships/hyperlink" Target="https://www.diodes.com/part/view/ZXMN2B14FH" TargetMode="External"/><Relationship Id="rId_hyperlink_4107" Type="http://schemas.openxmlformats.org/officeDocument/2006/relationships/hyperlink" Target="https://www.diodes.com/datasheet/download/ZXMN2F30FH.pdf" TargetMode="External"/><Relationship Id="rId_hyperlink_4108" Type="http://schemas.openxmlformats.org/officeDocument/2006/relationships/hyperlink" Target="https://www.diodes.com/part/view/ZXMN2F30FH" TargetMode="External"/><Relationship Id="rId_hyperlink_4109" Type="http://schemas.openxmlformats.org/officeDocument/2006/relationships/hyperlink" Target="https://www.diodes.com/datasheet/download/ZXMN2F34FH.pdf" TargetMode="External"/><Relationship Id="rId_hyperlink_4110" Type="http://schemas.openxmlformats.org/officeDocument/2006/relationships/hyperlink" Target="https://www.diodes.com/part/view/ZXMN2F34FH" TargetMode="External"/><Relationship Id="rId_hyperlink_4111" Type="http://schemas.openxmlformats.org/officeDocument/2006/relationships/hyperlink" Target="https://www.diodes.com/datasheet/download/ZXMN3A01E6.pdf" TargetMode="External"/><Relationship Id="rId_hyperlink_4112" Type="http://schemas.openxmlformats.org/officeDocument/2006/relationships/hyperlink" Target="https://www.diodes.com/part/view/ZXMN3A01E6" TargetMode="External"/><Relationship Id="rId_hyperlink_4113" Type="http://schemas.openxmlformats.org/officeDocument/2006/relationships/hyperlink" Target="https://www.diodes.com/datasheet/download/ZXMN3A01F.pdf" TargetMode="External"/><Relationship Id="rId_hyperlink_4114" Type="http://schemas.openxmlformats.org/officeDocument/2006/relationships/hyperlink" Target="https://www.diodes.com/part/view/ZXMN3A01F" TargetMode="External"/><Relationship Id="rId_hyperlink_4115" Type="http://schemas.openxmlformats.org/officeDocument/2006/relationships/hyperlink" Target="https://www.diodes.com/datasheet/download/ZXMN3A01Z.pdf" TargetMode="External"/><Relationship Id="rId_hyperlink_4116" Type="http://schemas.openxmlformats.org/officeDocument/2006/relationships/hyperlink" Target="https://www.diodes.com/part/view/ZXMN3A01Z" TargetMode="External"/><Relationship Id="rId_hyperlink_4117" Type="http://schemas.openxmlformats.org/officeDocument/2006/relationships/hyperlink" Target="https://www.diodes.com/datasheet/download/ZXMN3A02X8.pdf" TargetMode="External"/><Relationship Id="rId_hyperlink_4118" Type="http://schemas.openxmlformats.org/officeDocument/2006/relationships/hyperlink" Target="https://www.diodes.com/part/view/ZXMN3A02X8" TargetMode="External"/><Relationship Id="rId_hyperlink_4119" Type="http://schemas.openxmlformats.org/officeDocument/2006/relationships/hyperlink" Target="https://www.diodes.com/datasheet/download/ZXMN3A03E6.pdf" TargetMode="External"/><Relationship Id="rId_hyperlink_4120" Type="http://schemas.openxmlformats.org/officeDocument/2006/relationships/hyperlink" Target="https://www.diodes.com/part/view/ZXMN3A03E6" TargetMode="External"/><Relationship Id="rId_hyperlink_4121" Type="http://schemas.openxmlformats.org/officeDocument/2006/relationships/hyperlink" Target="https://www.diodes.com/datasheet/download/ZXMN3A04DN8.pdf" TargetMode="External"/><Relationship Id="rId_hyperlink_4122" Type="http://schemas.openxmlformats.org/officeDocument/2006/relationships/hyperlink" Target="https://www.diodes.com/part/view/ZXMN3A04DN8" TargetMode="External"/><Relationship Id="rId_hyperlink_4123" Type="http://schemas.openxmlformats.org/officeDocument/2006/relationships/hyperlink" Target="https://www.diodes.com/datasheet/download/ZXMN3A04K.pdf" TargetMode="External"/><Relationship Id="rId_hyperlink_4124" Type="http://schemas.openxmlformats.org/officeDocument/2006/relationships/hyperlink" Target="https://www.diodes.com/part/view/ZXMN3A04K" TargetMode="External"/><Relationship Id="rId_hyperlink_4125" Type="http://schemas.openxmlformats.org/officeDocument/2006/relationships/hyperlink" Target="https://www.diodes.com/datasheet/download/ZXMN3A06DN8.pdf" TargetMode="External"/><Relationship Id="rId_hyperlink_4126" Type="http://schemas.openxmlformats.org/officeDocument/2006/relationships/hyperlink" Target="https://www.diodes.com/part/view/ZXMN3A06DN8" TargetMode="External"/><Relationship Id="rId_hyperlink_4127" Type="http://schemas.openxmlformats.org/officeDocument/2006/relationships/hyperlink" Target="https://www.diodes.com/datasheet/download/ZXMN3A14F.pdf" TargetMode="External"/><Relationship Id="rId_hyperlink_4128" Type="http://schemas.openxmlformats.org/officeDocument/2006/relationships/hyperlink" Target="https://www.diodes.com/part/view/ZXMN3A14F" TargetMode="External"/><Relationship Id="rId_hyperlink_4129" Type="http://schemas.openxmlformats.org/officeDocument/2006/relationships/hyperlink" Target="https://www.diodes.com/datasheet/download/ZXMN3A14FQ.pdf" TargetMode="External"/><Relationship Id="rId_hyperlink_4130" Type="http://schemas.openxmlformats.org/officeDocument/2006/relationships/hyperlink" Target="https://www.diodes.com/part/view/ZXMN3A14FQ" TargetMode="External"/><Relationship Id="rId_hyperlink_4131" Type="http://schemas.openxmlformats.org/officeDocument/2006/relationships/hyperlink" Target="https://www.diodes.com/datasheet/download/ZXMN3AMC.pdf" TargetMode="External"/><Relationship Id="rId_hyperlink_4132" Type="http://schemas.openxmlformats.org/officeDocument/2006/relationships/hyperlink" Target="https://www.diodes.com/part/view/ZXMN3AMC" TargetMode="External"/><Relationship Id="rId_hyperlink_4133" Type="http://schemas.openxmlformats.org/officeDocument/2006/relationships/hyperlink" Target="https://www.diodes.com/datasheet/download/ZXMN3B01F.pdf" TargetMode="External"/><Relationship Id="rId_hyperlink_4134" Type="http://schemas.openxmlformats.org/officeDocument/2006/relationships/hyperlink" Target="https://www.diodes.com/part/view/ZXMN3B01F" TargetMode="External"/><Relationship Id="rId_hyperlink_4135" Type="http://schemas.openxmlformats.org/officeDocument/2006/relationships/hyperlink" Target="https://www.diodes.com/datasheet/download/ZXMN3B04N8.pdf" TargetMode="External"/><Relationship Id="rId_hyperlink_4136" Type="http://schemas.openxmlformats.org/officeDocument/2006/relationships/hyperlink" Target="https://www.diodes.com/part/view/ZXMN3B04N8" TargetMode="External"/><Relationship Id="rId_hyperlink_4137" Type="http://schemas.openxmlformats.org/officeDocument/2006/relationships/hyperlink" Target="https://www.diodes.com/datasheet/download/ZXMN3B14F.pdf" TargetMode="External"/><Relationship Id="rId_hyperlink_4138" Type="http://schemas.openxmlformats.org/officeDocument/2006/relationships/hyperlink" Target="https://www.diodes.com/part/view/ZXMN3B14F" TargetMode="External"/><Relationship Id="rId_hyperlink_4139" Type="http://schemas.openxmlformats.org/officeDocument/2006/relationships/hyperlink" Target="https://www.diodes.com/datasheet/download/ZXMN3F30FH.pdf" TargetMode="External"/><Relationship Id="rId_hyperlink_4140" Type="http://schemas.openxmlformats.org/officeDocument/2006/relationships/hyperlink" Target="https://www.diodes.com/part/view/ZXMN3F30FH" TargetMode="External"/><Relationship Id="rId_hyperlink_4141" Type="http://schemas.openxmlformats.org/officeDocument/2006/relationships/hyperlink" Target="https://www.diodes.com/datasheet/download/ZXMN3F31DN8.pdf" TargetMode="External"/><Relationship Id="rId_hyperlink_4142" Type="http://schemas.openxmlformats.org/officeDocument/2006/relationships/hyperlink" Target="https://www.diodes.com/part/view/ZXMN3F31DN8" TargetMode="External"/><Relationship Id="rId_hyperlink_4143" Type="http://schemas.openxmlformats.org/officeDocument/2006/relationships/hyperlink" Target="https://www.diodes.com/datasheet/download/ZXMN3G32DN8.pdf" TargetMode="External"/><Relationship Id="rId_hyperlink_4144" Type="http://schemas.openxmlformats.org/officeDocument/2006/relationships/hyperlink" Target="https://www.diodes.com/part/view/ZXMN3G32DN8" TargetMode="External"/><Relationship Id="rId_hyperlink_4145" Type="http://schemas.openxmlformats.org/officeDocument/2006/relationships/hyperlink" Target="https://www.diodes.com/datasheet/download/ZXMN4A06G.pdf" TargetMode="External"/><Relationship Id="rId_hyperlink_4146" Type="http://schemas.openxmlformats.org/officeDocument/2006/relationships/hyperlink" Target="https://www.diodes.com/part/view/ZXMN4A06G" TargetMode="External"/><Relationship Id="rId_hyperlink_4147" Type="http://schemas.openxmlformats.org/officeDocument/2006/relationships/hyperlink" Target="https://www.diodes.com/datasheet/download/ZXMN4A06GQ.pdf" TargetMode="External"/><Relationship Id="rId_hyperlink_4148" Type="http://schemas.openxmlformats.org/officeDocument/2006/relationships/hyperlink" Target="https://www.diodes.com/part/view/ZXMN4A06GQ" TargetMode="External"/><Relationship Id="rId_hyperlink_4149" Type="http://schemas.openxmlformats.org/officeDocument/2006/relationships/hyperlink" Target="https://www.diodes.com/datasheet/download/ZXMN4A06K.pdf" TargetMode="External"/><Relationship Id="rId_hyperlink_4150" Type="http://schemas.openxmlformats.org/officeDocument/2006/relationships/hyperlink" Target="https://www.diodes.com/part/view/ZXMN4A06K" TargetMode="External"/><Relationship Id="rId_hyperlink_4151" Type="http://schemas.openxmlformats.org/officeDocument/2006/relationships/hyperlink" Target="https://www.diodes.com/datasheet/download/ZXMN6A07F.pdf" TargetMode="External"/><Relationship Id="rId_hyperlink_4152" Type="http://schemas.openxmlformats.org/officeDocument/2006/relationships/hyperlink" Target="https://www.diodes.com/part/view/ZXMN6A07F" TargetMode="External"/><Relationship Id="rId_hyperlink_4153" Type="http://schemas.openxmlformats.org/officeDocument/2006/relationships/hyperlink" Target="https://www.diodes.com/datasheet/download/ZXMN6A07FQ.pdf" TargetMode="External"/><Relationship Id="rId_hyperlink_4154" Type="http://schemas.openxmlformats.org/officeDocument/2006/relationships/hyperlink" Target="https://www.diodes.com/part/view/ZXMN6A07FQ" TargetMode="External"/><Relationship Id="rId_hyperlink_4155" Type="http://schemas.openxmlformats.org/officeDocument/2006/relationships/hyperlink" Target="https://www.diodes.com/datasheet/download/ZXMN6A07Z.pdf" TargetMode="External"/><Relationship Id="rId_hyperlink_4156" Type="http://schemas.openxmlformats.org/officeDocument/2006/relationships/hyperlink" Target="https://www.diodes.com/part/view/ZXMN6A07Z" TargetMode="External"/><Relationship Id="rId_hyperlink_4157" Type="http://schemas.openxmlformats.org/officeDocument/2006/relationships/hyperlink" Target="https://www.diodes.com/datasheet/download/ZXMN6A08E6.pdf" TargetMode="External"/><Relationship Id="rId_hyperlink_4158" Type="http://schemas.openxmlformats.org/officeDocument/2006/relationships/hyperlink" Target="https://www.diodes.com/part/view/ZXMN6A08E6" TargetMode="External"/><Relationship Id="rId_hyperlink_4159" Type="http://schemas.openxmlformats.org/officeDocument/2006/relationships/hyperlink" Target="https://www.diodes.com/datasheet/download/ZXMN6A08E6Q.pdf" TargetMode="External"/><Relationship Id="rId_hyperlink_4160" Type="http://schemas.openxmlformats.org/officeDocument/2006/relationships/hyperlink" Target="https://www.diodes.com/part/view/ZXMN6A08E6Q" TargetMode="External"/><Relationship Id="rId_hyperlink_4161" Type="http://schemas.openxmlformats.org/officeDocument/2006/relationships/hyperlink" Target="https://www.diodes.com/datasheet/download/ZXMN6A08G.pdf" TargetMode="External"/><Relationship Id="rId_hyperlink_4162" Type="http://schemas.openxmlformats.org/officeDocument/2006/relationships/hyperlink" Target="https://www.diodes.com/part/view/ZXMN6A08G" TargetMode="External"/><Relationship Id="rId_hyperlink_4163" Type="http://schemas.openxmlformats.org/officeDocument/2006/relationships/hyperlink" Target="https://www.diodes.com/datasheet/download/ZXMN6A08GQ.pdf" TargetMode="External"/><Relationship Id="rId_hyperlink_4164" Type="http://schemas.openxmlformats.org/officeDocument/2006/relationships/hyperlink" Target="https://www.diodes.com/part/view/ZXMN6A08GQ" TargetMode="External"/><Relationship Id="rId_hyperlink_4165" Type="http://schemas.openxmlformats.org/officeDocument/2006/relationships/hyperlink" Target="https://www.diodes.com/datasheet/download/ZXMN6A08K.pdf" TargetMode="External"/><Relationship Id="rId_hyperlink_4166" Type="http://schemas.openxmlformats.org/officeDocument/2006/relationships/hyperlink" Target="https://www.diodes.com/part/view/ZXMN6A08K" TargetMode="External"/><Relationship Id="rId_hyperlink_4167" Type="http://schemas.openxmlformats.org/officeDocument/2006/relationships/hyperlink" Target="https://www.diodes.com/datasheet/download/ZXMN6A09DN8.pdf" TargetMode="External"/><Relationship Id="rId_hyperlink_4168" Type="http://schemas.openxmlformats.org/officeDocument/2006/relationships/hyperlink" Target="https://www.diodes.com/part/view/ZXMN6A09DN8" TargetMode="External"/><Relationship Id="rId_hyperlink_4169" Type="http://schemas.openxmlformats.org/officeDocument/2006/relationships/hyperlink" Target="https://www.diodes.com/datasheet/download/ZXMN6A09G.pdf" TargetMode="External"/><Relationship Id="rId_hyperlink_4170" Type="http://schemas.openxmlformats.org/officeDocument/2006/relationships/hyperlink" Target="https://www.diodes.com/part/view/ZXMN6A09G" TargetMode="External"/><Relationship Id="rId_hyperlink_4171" Type="http://schemas.openxmlformats.org/officeDocument/2006/relationships/hyperlink" Target="https://www.diodes.com/datasheet/download/ZXMN6A09GQ.pdf" TargetMode="External"/><Relationship Id="rId_hyperlink_4172" Type="http://schemas.openxmlformats.org/officeDocument/2006/relationships/hyperlink" Target="https://www.diodes.com/part/view/ZXMN6A09GQ" TargetMode="External"/><Relationship Id="rId_hyperlink_4173" Type="http://schemas.openxmlformats.org/officeDocument/2006/relationships/hyperlink" Target="https://www.diodes.com/datasheet/download/ZXMN6A09K.pdf" TargetMode="External"/><Relationship Id="rId_hyperlink_4174" Type="http://schemas.openxmlformats.org/officeDocument/2006/relationships/hyperlink" Target="https://www.diodes.com/part/view/ZXMN6A09K" TargetMode="External"/><Relationship Id="rId_hyperlink_4175" Type="http://schemas.openxmlformats.org/officeDocument/2006/relationships/hyperlink" Target="https://www.diodes.com/datasheet/download/ZXMN6A11DN8.pdf" TargetMode="External"/><Relationship Id="rId_hyperlink_4176" Type="http://schemas.openxmlformats.org/officeDocument/2006/relationships/hyperlink" Target="https://www.diodes.com/part/view/ZXMN6A11DN8" TargetMode="External"/><Relationship Id="rId_hyperlink_4177" Type="http://schemas.openxmlformats.org/officeDocument/2006/relationships/hyperlink" Target="https://www.diodes.com/datasheet/download/ZXMN6A11G.pdf" TargetMode="External"/><Relationship Id="rId_hyperlink_4178" Type="http://schemas.openxmlformats.org/officeDocument/2006/relationships/hyperlink" Target="https://www.diodes.com/part/view/ZXMN6A11G" TargetMode="External"/><Relationship Id="rId_hyperlink_4179" Type="http://schemas.openxmlformats.org/officeDocument/2006/relationships/hyperlink" Target="https://www.diodes.com/datasheet/download/ZXMN6A11Z.pdf" TargetMode="External"/><Relationship Id="rId_hyperlink_4180" Type="http://schemas.openxmlformats.org/officeDocument/2006/relationships/hyperlink" Target="https://www.diodes.com/part/view/ZXMN6A11Z" TargetMode="External"/><Relationship Id="rId_hyperlink_4181" Type="http://schemas.openxmlformats.org/officeDocument/2006/relationships/hyperlink" Target="https://www.diodes.com/datasheet/download/ZXMN6A25DN8.pdf" TargetMode="External"/><Relationship Id="rId_hyperlink_4182" Type="http://schemas.openxmlformats.org/officeDocument/2006/relationships/hyperlink" Target="https://www.diodes.com/part/view/ZXMN6A25DN8" TargetMode="External"/><Relationship Id="rId_hyperlink_4183" Type="http://schemas.openxmlformats.org/officeDocument/2006/relationships/hyperlink" Target="https://www.diodes.com/datasheet/download/ZXMN6A25G.pdf" TargetMode="External"/><Relationship Id="rId_hyperlink_4184" Type="http://schemas.openxmlformats.org/officeDocument/2006/relationships/hyperlink" Target="https://www.diodes.com/part/view/ZXMN6A25G" TargetMode="External"/><Relationship Id="rId_hyperlink_4185" Type="http://schemas.openxmlformats.org/officeDocument/2006/relationships/hyperlink" Target="https://www.diodes.com/datasheet/download/ZXMN6A25K.pdf" TargetMode="External"/><Relationship Id="rId_hyperlink_4186" Type="http://schemas.openxmlformats.org/officeDocument/2006/relationships/hyperlink" Target="https://www.diodes.com/part/view/ZXMN6A25K" TargetMode="External"/><Relationship Id="rId_hyperlink_4187" Type="http://schemas.openxmlformats.org/officeDocument/2006/relationships/hyperlink" Target="https://www.diodes.com/datasheet/download/ZXMN6A25N8.pdf" TargetMode="External"/><Relationship Id="rId_hyperlink_4188" Type="http://schemas.openxmlformats.org/officeDocument/2006/relationships/hyperlink" Target="https://www.diodes.com/part/view/ZXMN6A25N8" TargetMode="External"/><Relationship Id="rId_hyperlink_4189" Type="http://schemas.openxmlformats.org/officeDocument/2006/relationships/hyperlink" Target="https://www.diodes.com/datasheet/download/ZXMN7A11G.pdf" TargetMode="External"/><Relationship Id="rId_hyperlink_4190" Type="http://schemas.openxmlformats.org/officeDocument/2006/relationships/hyperlink" Target="https://www.diodes.com/part/view/ZXMN7A11G" TargetMode="External"/><Relationship Id="rId_hyperlink_4191" Type="http://schemas.openxmlformats.org/officeDocument/2006/relationships/hyperlink" Target="https://www.diodes.com/datasheet/download/ZXMN7A11GQ.pdf" TargetMode="External"/><Relationship Id="rId_hyperlink_4192" Type="http://schemas.openxmlformats.org/officeDocument/2006/relationships/hyperlink" Target="https://www.diodes.com/part/view/ZXMN7A11GQ" TargetMode="External"/><Relationship Id="rId_hyperlink_4193" Type="http://schemas.openxmlformats.org/officeDocument/2006/relationships/hyperlink" Target="https://www.diodes.com/datasheet/download/ZXMN7A11K.pdf" TargetMode="External"/><Relationship Id="rId_hyperlink_4194" Type="http://schemas.openxmlformats.org/officeDocument/2006/relationships/hyperlink" Target="https://www.diodes.com/part/view/ZXMN7A11K" TargetMode="External"/><Relationship Id="rId_hyperlink_4195" Type="http://schemas.openxmlformats.org/officeDocument/2006/relationships/hyperlink" Target="https://www.diodes.com/datasheet/download/ZXMP10A13F.pdf" TargetMode="External"/><Relationship Id="rId_hyperlink_4196" Type="http://schemas.openxmlformats.org/officeDocument/2006/relationships/hyperlink" Target="https://www.diodes.com/part/view/ZXMP10A13F" TargetMode="External"/><Relationship Id="rId_hyperlink_4197" Type="http://schemas.openxmlformats.org/officeDocument/2006/relationships/hyperlink" Target="https://www.diodes.com/datasheet/download/ZXMP10A13FQ.pdf" TargetMode="External"/><Relationship Id="rId_hyperlink_4198" Type="http://schemas.openxmlformats.org/officeDocument/2006/relationships/hyperlink" Target="https://www.diodes.com/part/view/ZXMP10A13FQ" TargetMode="External"/><Relationship Id="rId_hyperlink_4199" Type="http://schemas.openxmlformats.org/officeDocument/2006/relationships/hyperlink" Target="https://www.diodes.com/datasheet/download/ZXMP10A16K.pdf" TargetMode="External"/><Relationship Id="rId_hyperlink_4200" Type="http://schemas.openxmlformats.org/officeDocument/2006/relationships/hyperlink" Target="https://www.diodes.com/part/view/ZXMP10A16K" TargetMode="External"/><Relationship Id="rId_hyperlink_4201" Type="http://schemas.openxmlformats.org/officeDocument/2006/relationships/hyperlink" Target="https://www.diodes.com/datasheet/download/ZXMP10A17E6.pdf" TargetMode="External"/><Relationship Id="rId_hyperlink_4202" Type="http://schemas.openxmlformats.org/officeDocument/2006/relationships/hyperlink" Target="https://www.diodes.com/part/view/ZXMP10A17E6" TargetMode="External"/><Relationship Id="rId_hyperlink_4203" Type="http://schemas.openxmlformats.org/officeDocument/2006/relationships/hyperlink" Target="https://www.diodes.com/datasheet/download/ZXMP10A17E6Q.pdf" TargetMode="External"/><Relationship Id="rId_hyperlink_4204" Type="http://schemas.openxmlformats.org/officeDocument/2006/relationships/hyperlink" Target="https://www.diodes.com/part/view/ZXMP10A17E6Q" TargetMode="External"/><Relationship Id="rId_hyperlink_4205" Type="http://schemas.openxmlformats.org/officeDocument/2006/relationships/hyperlink" Target="https://www.diodes.com/datasheet/download/ZXMP10A17G.pdf" TargetMode="External"/><Relationship Id="rId_hyperlink_4206" Type="http://schemas.openxmlformats.org/officeDocument/2006/relationships/hyperlink" Target="https://www.diodes.com/part/view/ZXMP10A17G" TargetMode="External"/><Relationship Id="rId_hyperlink_4207" Type="http://schemas.openxmlformats.org/officeDocument/2006/relationships/hyperlink" Target="https://www.diodes.com/datasheet/download/ZXMP10A17GQ.pdf" TargetMode="External"/><Relationship Id="rId_hyperlink_4208" Type="http://schemas.openxmlformats.org/officeDocument/2006/relationships/hyperlink" Target="https://www.diodes.com/part/view/ZXMP10A17GQ" TargetMode="External"/><Relationship Id="rId_hyperlink_4209" Type="http://schemas.openxmlformats.org/officeDocument/2006/relationships/hyperlink" Target="https://www.diodes.com/datasheet/download/ZXMP10A17K.pdf" TargetMode="External"/><Relationship Id="rId_hyperlink_4210" Type="http://schemas.openxmlformats.org/officeDocument/2006/relationships/hyperlink" Target="https://www.diodes.com/part/view/ZXMP10A17K" TargetMode="External"/><Relationship Id="rId_hyperlink_4211" Type="http://schemas.openxmlformats.org/officeDocument/2006/relationships/hyperlink" Target="https://www.diodes.com/datasheet/download/ZXMP10A18G.pdf" TargetMode="External"/><Relationship Id="rId_hyperlink_4212" Type="http://schemas.openxmlformats.org/officeDocument/2006/relationships/hyperlink" Target="https://www.diodes.com/part/view/ZXMP10A18G" TargetMode="External"/><Relationship Id="rId_hyperlink_4213" Type="http://schemas.openxmlformats.org/officeDocument/2006/relationships/hyperlink" Target="https://www.diodes.com/datasheet/download/ZXMP10A18K.pdf" TargetMode="External"/><Relationship Id="rId_hyperlink_4214" Type="http://schemas.openxmlformats.org/officeDocument/2006/relationships/hyperlink" Target="https://www.diodes.com/part/view/ZXMP10A18K" TargetMode="External"/><Relationship Id="rId_hyperlink_4215" Type="http://schemas.openxmlformats.org/officeDocument/2006/relationships/hyperlink" Target="https://www.diodes.com/datasheet/download/ZXMP10A18KQ.pdf" TargetMode="External"/><Relationship Id="rId_hyperlink_4216" Type="http://schemas.openxmlformats.org/officeDocument/2006/relationships/hyperlink" Target="https://www.diodes.com/part/view/ZXMP10A18KQ" TargetMode="External"/><Relationship Id="rId_hyperlink_4217" Type="http://schemas.openxmlformats.org/officeDocument/2006/relationships/hyperlink" Target="https://www.diodes.com/datasheet/download/ZXMP2120FF.pdf" TargetMode="External"/><Relationship Id="rId_hyperlink_4218" Type="http://schemas.openxmlformats.org/officeDocument/2006/relationships/hyperlink" Target="https://www.diodes.com/part/view/ZXMP2120FF" TargetMode="External"/><Relationship Id="rId_hyperlink_4219" Type="http://schemas.openxmlformats.org/officeDocument/2006/relationships/hyperlink" Target="https://www.diodes.com/datasheet/download/ZXMP3A13F.pdf" TargetMode="External"/><Relationship Id="rId_hyperlink_4220" Type="http://schemas.openxmlformats.org/officeDocument/2006/relationships/hyperlink" Target="https://www.diodes.com/part/view/ZXMP3A13F" TargetMode="External"/><Relationship Id="rId_hyperlink_4221" Type="http://schemas.openxmlformats.org/officeDocument/2006/relationships/hyperlink" Target="https://www.diodes.com/datasheet/download/ZXMP3A16DN8.pdf" TargetMode="External"/><Relationship Id="rId_hyperlink_4222" Type="http://schemas.openxmlformats.org/officeDocument/2006/relationships/hyperlink" Target="https://www.diodes.com/part/view/ZXMP3A16DN8" TargetMode="External"/><Relationship Id="rId_hyperlink_4223" Type="http://schemas.openxmlformats.org/officeDocument/2006/relationships/hyperlink" Target="https://www.diodes.com/datasheet/download/ZXMP3A16G.pdf" TargetMode="External"/><Relationship Id="rId_hyperlink_4224" Type="http://schemas.openxmlformats.org/officeDocument/2006/relationships/hyperlink" Target="https://www.diodes.com/part/view/ZXMP3A16G" TargetMode="External"/><Relationship Id="rId_hyperlink_4225" Type="http://schemas.openxmlformats.org/officeDocument/2006/relationships/hyperlink" Target="https://www.diodes.com/datasheet/download/ZXMP3A16N8.pdf" TargetMode="External"/><Relationship Id="rId_hyperlink_4226" Type="http://schemas.openxmlformats.org/officeDocument/2006/relationships/hyperlink" Target="https://www.diodes.com/part/view/ZXMP3A16N8" TargetMode="External"/><Relationship Id="rId_hyperlink_4227" Type="http://schemas.openxmlformats.org/officeDocument/2006/relationships/hyperlink" Target="https://www.diodes.com/datasheet/download/ZXMP3A17DN8.pdf" TargetMode="External"/><Relationship Id="rId_hyperlink_4228" Type="http://schemas.openxmlformats.org/officeDocument/2006/relationships/hyperlink" Target="https://www.diodes.com/part/view/ZXMP3A17DN8" TargetMode="External"/><Relationship Id="rId_hyperlink_4229" Type="http://schemas.openxmlformats.org/officeDocument/2006/relationships/hyperlink" Target="https://www.diodes.com/datasheet/download/ZXMP3A17E6.pdf" TargetMode="External"/><Relationship Id="rId_hyperlink_4230" Type="http://schemas.openxmlformats.org/officeDocument/2006/relationships/hyperlink" Target="https://www.diodes.com/part/view/ZXMP3A17E6" TargetMode="External"/><Relationship Id="rId_hyperlink_4231" Type="http://schemas.openxmlformats.org/officeDocument/2006/relationships/hyperlink" Target="https://www.diodes.com/datasheet/download/ZXMP3F30FH.pdf" TargetMode="External"/><Relationship Id="rId_hyperlink_4232" Type="http://schemas.openxmlformats.org/officeDocument/2006/relationships/hyperlink" Target="https://www.diodes.com/part/view/ZXMP3F30FH" TargetMode="External"/><Relationship Id="rId_hyperlink_4233" Type="http://schemas.openxmlformats.org/officeDocument/2006/relationships/hyperlink" Target="https://www.diodes.com/datasheet/download/ZXMP4A16G.pdf" TargetMode="External"/><Relationship Id="rId_hyperlink_4234" Type="http://schemas.openxmlformats.org/officeDocument/2006/relationships/hyperlink" Target="https://www.diodes.com/part/view/ZXMP4A16G" TargetMode="External"/><Relationship Id="rId_hyperlink_4235" Type="http://schemas.openxmlformats.org/officeDocument/2006/relationships/hyperlink" Target="https://www.diodes.com/datasheet/download/ZXMP4A16GQ.pdf" TargetMode="External"/><Relationship Id="rId_hyperlink_4236" Type="http://schemas.openxmlformats.org/officeDocument/2006/relationships/hyperlink" Target="https://www.diodes.com/part/view/ZXMP4A16GQ" TargetMode="External"/><Relationship Id="rId_hyperlink_4237" Type="http://schemas.openxmlformats.org/officeDocument/2006/relationships/hyperlink" Target="https://www.diodes.com/datasheet/download/ZXMP4A16K.pdf" TargetMode="External"/><Relationship Id="rId_hyperlink_4238" Type="http://schemas.openxmlformats.org/officeDocument/2006/relationships/hyperlink" Target="https://www.diodes.com/part/view/ZXMP4A16K" TargetMode="External"/><Relationship Id="rId_hyperlink_4239" Type="http://schemas.openxmlformats.org/officeDocument/2006/relationships/hyperlink" Target="https://www.diodes.com/datasheet/download/ZXMP4A57E6.pdf" TargetMode="External"/><Relationship Id="rId_hyperlink_4240" Type="http://schemas.openxmlformats.org/officeDocument/2006/relationships/hyperlink" Target="https://www.diodes.com/part/view/ZXMP4A57E6" TargetMode="External"/><Relationship Id="rId_hyperlink_4241" Type="http://schemas.openxmlformats.org/officeDocument/2006/relationships/hyperlink" Target="https://www.diodes.com/datasheet/download/ZXMP6A13F.pdf" TargetMode="External"/><Relationship Id="rId_hyperlink_4242" Type="http://schemas.openxmlformats.org/officeDocument/2006/relationships/hyperlink" Target="https://www.diodes.com/part/view/ZXMP6A13F" TargetMode="External"/><Relationship Id="rId_hyperlink_4243" Type="http://schemas.openxmlformats.org/officeDocument/2006/relationships/hyperlink" Target="https://www.diodes.com/datasheet/download/ZXMP6A13FQ.pdf" TargetMode="External"/><Relationship Id="rId_hyperlink_4244" Type="http://schemas.openxmlformats.org/officeDocument/2006/relationships/hyperlink" Target="https://www.diodes.com/part/view/ZXMP6A13FQ" TargetMode="External"/><Relationship Id="rId_hyperlink_4245" Type="http://schemas.openxmlformats.org/officeDocument/2006/relationships/hyperlink" Target="https://www.diodes.com/datasheet/download/ZXMP6A13G.pdf" TargetMode="External"/><Relationship Id="rId_hyperlink_4246" Type="http://schemas.openxmlformats.org/officeDocument/2006/relationships/hyperlink" Target="https://www.diodes.com/part/view/ZXMP6A13G" TargetMode="External"/><Relationship Id="rId_hyperlink_4247" Type="http://schemas.openxmlformats.org/officeDocument/2006/relationships/hyperlink" Target="https://www.diodes.com/datasheet/download/ZXMP6A16DN8.pdf" TargetMode="External"/><Relationship Id="rId_hyperlink_4248" Type="http://schemas.openxmlformats.org/officeDocument/2006/relationships/hyperlink" Target="https://www.diodes.com/part/view/ZXMP6A16DN8" TargetMode="External"/><Relationship Id="rId_hyperlink_4249" Type="http://schemas.openxmlformats.org/officeDocument/2006/relationships/hyperlink" Target="https://www.diodes.com/datasheet/download/ZXMP6A16DN8Q.pdf" TargetMode="External"/><Relationship Id="rId_hyperlink_4250" Type="http://schemas.openxmlformats.org/officeDocument/2006/relationships/hyperlink" Target="https://www.diodes.com/part/view/ZXMP6A16DN8Q" TargetMode="External"/><Relationship Id="rId_hyperlink_4251" Type="http://schemas.openxmlformats.org/officeDocument/2006/relationships/hyperlink" Target="https://www.diodes.com/datasheet/download/ZXMP6A16K.pdf" TargetMode="External"/><Relationship Id="rId_hyperlink_4252" Type="http://schemas.openxmlformats.org/officeDocument/2006/relationships/hyperlink" Target="https://www.diodes.com/part/view/ZXMP6A16K" TargetMode="External"/><Relationship Id="rId_hyperlink_4253" Type="http://schemas.openxmlformats.org/officeDocument/2006/relationships/hyperlink" Target="https://www.diodes.com/datasheet/download/ZXMP6A17DN8.pdf" TargetMode="External"/><Relationship Id="rId_hyperlink_4254" Type="http://schemas.openxmlformats.org/officeDocument/2006/relationships/hyperlink" Target="https://www.diodes.com/part/view/ZXMP6A17DN8" TargetMode="External"/><Relationship Id="rId_hyperlink_4255" Type="http://schemas.openxmlformats.org/officeDocument/2006/relationships/hyperlink" Target="https://www.diodes.com/datasheet/download/ZXMP6A17E6.pdf" TargetMode="External"/><Relationship Id="rId_hyperlink_4256" Type="http://schemas.openxmlformats.org/officeDocument/2006/relationships/hyperlink" Target="https://www.diodes.com/part/view/ZXMP6A17E6" TargetMode="External"/><Relationship Id="rId_hyperlink_4257" Type="http://schemas.openxmlformats.org/officeDocument/2006/relationships/hyperlink" Target="https://www.diodes.com/datasheet/download/ZXMP6A17E6Q.pdf" TargetMode="External"/><Relationship Id="rId_hyperlink_4258" Type="http://schemas.openxmlformats.org/officeDocument/2006/relationships/hyperlink" Target="https://www.diodes.com/part/view/ZXMP6A17E6Q" TargetMode="External"/><Relationship Id="rId_hyperlink_4259" Type="http://schemas.openxmlformats.org/officeDocument/2006/relationships/hyperlink" Target="https://www.diodes.com/datasheet/download/ZXMP6A17G.pdf" TargetMode="External"/><Relationship Id="rId_hyperlink_4260" Type="http://schemas.openxmlformats.org/officeDocument/2006/relationships/hyperlink" Target="https://www.diodes.com/part/view/ZXMP6A17G" TargetMode="External"/><Relationship Id="rId_hyperlink_4261" Type="http://schemas.openxmlformats.org/officeDocument/2006/relationships/hyperlink" Target="https://www.diodes.com/datasheet/download/ZXMP6A17GQ.pdf" TargetMode="External"/><Relationship Id="rId_hyperlink_4262" Type="http://schemas.openxmlformats.org/officeDocument/2006/relationships/hyperlink" Target="https://www.diodes.com/part/view/ZXMP6A17GQ" TargetMode="External"/><Relationship Id="rId_hyperlink_4263" Type="http://schemas.openxmlformats.org/officeDocument/2006/relationships/hyperlink" Target="https://www.diodes.com/datasheet/download/ZXMP6A17K.pdf" TargetMode="External"/><Relationship Id="rId_hyperlink_4264" Type="http://schemas.openxmlformats.org/officeDocument/2006/relationships/hyperlink" Target="https://www.diodes.com/part/view/ZXMP6A17K" TargetMode="External"/><Relationship Id="rId_hyperlink_4265" Type="http://schemas.openxmlformats.org/officeDocument/2006/relationships/hyperlink" Target="https://www.diodes.com/datasheet/download/ZXMP6A17N8.pdf" TargetMode="External"/><Relationship Id="rId_hyperlink_4266" Type="http://schemas.openxmlformats.org/officeDocument/2006/relationships/hyperlink" Target="https://www.diodes.com/part/view/ZXMP6A17N8" TargetMode="External"/><Relationship Id="rId_hyperlink_4267" Type="http://schemas.openxmlformats.org/officeDocument/2006/relationships/hyperlink" Target="https://www.diodes.com/datasheet/download/ZXMP6A18DN8.pdf" TargetMode="External"/><Relationship Id="rId_hyperlink_4268" Type="http://schemas.openxmlformats.org/officeDocument/2006/relationships/hyperlink" Target="https://www.diodes.com/part/view/ZXMP6A18DN8" TargetMode="External"/><Relationship Id="rId_hyperlink_4269" Type="http://schemas.openxmlformats.org/officeDocument/2006/relationships/hyperlink" Target="https://www.diodes.com/datasheet/download/ZXMP6A18K.pdf" TargetMode="External"/><Relationship Id="rId_hyperlink_4270" Type="http://schemas.openxmlformats.org/officeDocument/2006/relationships/hyperlink" Target="https://www.diodes.com/part/view/ZXMP6A18K" TargetMode="External"/><Relationship Id="rId_hyperlink_4271" Type="http://schemas.openxmlformats.org/officeDocument/2006/relationships/hyperlink" Target="https://www.diodes.com/datasheet/download/ZXMP7A17G.pdf" TargetMode="External"/><Relationship Id="rId_hyperlink_4272" Type="http://schemas.openxmlformats.org/officeDocument/2006/relationships/hyperlink" Target="https://www.diodes.com/part/view/ZXMP7A17G" TargetMode="External"/><Relationship Id="rId_hyperlink_4273" Type="http://schemas.openxmlformats.org/officeDocument/2006/relationships/hyperlink" Target="https://www.diodes.com/datasheet/download/ZXMP7A17GQ.pdf" TargetMode="External"/><Relationship Id="rId_hyperlink_4274" Type="http://schemas.openxmlformats.org/officeDocument/2006/relationships/hyperlink" Target="https://www.diodes.com/part/view/ZXMP7A17GQ" TargetMode="External"/><Relationship Id="rId_hyperlink_4275" Type="http://schemas.openxmlformats.org/officeDocument/2006/relationships/hyperlink" Target="https://www.diodes.com/datasheet/download/ZXMP7A17K.pdf" TargetMode="External"/><Relationship Id="rId_hyperlink_4276" Type="http://schemas.openxmlformats.org/officeDocument/2006/relationships/hyperlink" Target="https://www.diodes.com/part/view/ZXMP7A17K" TargetMode="External"/><Relationship Id="rId_hyperlink_4277" Type="http://schemas.openxmlformats.org/officeDocument/2006/relationships/hyperlink" Target="https://www.diodes.com/datasheet/download/ZXMP7A17KQ.pdf" TargetMode="External"/><Relationship Id="rId_hyperlink_4278" Type="http://schemas.openxmlformats.org/officeDocument/2006/relationships/hyperlink" Target="https://www.diodes.com/part/view/ZXMP7A17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Y2140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  <col min="21" max="21" width="11.92" customWidth="true" style="0"/>
    <col min="22" max="22" width="11.92" customWidth="true" style="0"/>
    <col min="23" max="23" width="11.92" customWidth="true" style="0"/>
    <col min="24" max="24" width="11.92" customWidth="true" style="0"/>
    <col min="25" max="25" width="11.92" customWidth="true" style="0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Automotive(Q)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Polarity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ESD Diodes (Y|N)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(±V)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(A)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(A)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(W)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(W)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(10V)(mΩ)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(4.5V)(mΩ)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(2.5V)(mΩ)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(1.8V)(mΩ)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GS(TH)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Min (V)</t>
          </r>
        </is>
      </c>
      <c r="T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GS(TH)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Max (V)</t>
          </r>
        </is>
      </c>
      <c r="U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4.5V (nC)</t>
          </r>
        </is>
      </c>
      <c r="V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10V (nC)</t>
          </r>
        </is>
      </c>
      <c r="W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ISS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(pF)</t>
          </r>
        </is>
      </c>
      <c r="X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ISS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Condition @|V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Y1" s="1" t="s">
        <v>24</v>
      </c>
    </row>
    <row r="2" spans="1:25">
      <c r="A2" t="s">
        <v>25</v>
      </c>
      <c r="B2" s="2" t="str">
        <f>Hyperlink("https://www.diodes.com/datasheet/download/2N7002.pdf")</f>
        <v>https://www.diodes.com/datasheet/download/2N7002.pdf</v>
      </c>
      <c r="C2" t="str">
        <f>Hyperlink("https://www.diodes.com/part/view/2N7002","2N7002")</f>
        <v>2N7002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>
        <v>60</v>
      </c>
      <c r="J2">
        <v>20</v>
      </c>
      <c r="K2">
        <v>0.21</v>
      </c>
      <c r="M2">
        <v>0.37</v>
      </c>
      <c r="O2">
        <v>5000</v>
      </c>
      <c r="P2">
        <v>7500</v>
      </c>
      <c r="T2">
        <v>2.5</v>
      </c>
      <c r="U2">
        <v>0.223</v>
      </c>
      <c r="W2" t="s">
        <v>31</v>
      </c>
      <c r="Y2" t="s">
        <v>32</v>
      </c>
    </row>
    <row r="3" spans="1:25">
      <c r="A3" t="s">
        <v>33</v>
      </c>
      <c r="B3" s="2" t="str">
        <f>Hyperlink("https://www.diodes.com/datasheet/download/2N7002A.pdf")</f>
        <v>https://www.diodes.com/datasheet/download/2N7002A.pdf</v>
      </c>
      <c r="C3" t="str">
        <f>Hyperlink("https://www.diodes.com/part/view/2N7002A","2N7002A")</f>
        <v>2N7002A</v>
      </c>
      <c r="D3" t="s">
        <v>26</v>
      </c>
      <c r="E3" t="s">
        <v>27</v>
      </c>
      <c r="F3" t="s">
        <v>28</v>
      </c>
      <c r="G3" t="s">
        <v>29</v>
      </c>
      <c r="H3" t="s">
        <v>27</v>
      </c>
      <c r="I3">
        <v>60</v>
      </c>
      <c r="J3">
        <v>20</v>
      </c>
      <c r="K3">
        <v>0.2</v>
      </c>
      <c r="M3">
        <v>0.54</v>
      </c>
      <c r="O3">
        <v>3000</v>
      </c>
      <c r="P3">
        <v>3500</v>
      </c>
      <c r="T3">
        <v>2</v>
      </c>
      <c r="W3" t="s">
        <v>34</v>
      </c>
      <c r="Y3" t="s">
        <v>35</v>
      </c>
    </row>
    <row r="4" spans="1:25">
      <c r="A4" t="s">
        <v>36</v>
      </c>
      <c r="B4" s="2" t="str">
        <f>Hyperlink("https://www.diodes.com/datasheet/download/2N7002AQ.pdf")</f>
        <v>https://www.diodes.com/datasheet/download/2N7002AQ.pdf</v>
      </c>
      <c r="C4" t="str">
        <f>Hyperlink("https://www.diodes.com/part/view/2N7002AQ","2N7002AQ")</f>
        <v>2N7002AQ</v>
      </c>
      <c r="D4" t="s">
        <v>26</v>
      </c>
      <c r="E4" t="s">
        <v>27</v>
      </c>
      <c r="F4" t="s">
        <v>37</v>
      </c>
      <c r="G4" t="s">
        <v>29</v>
      </c>
      <c r="H4" t="s">
        <v>27</v>
      </c>
      <c r="I4">
        <v>60</v>
      </c>
      <c r="J4">
        <v>20</v>
      </c>
      <c r="K4">
        <v>0.2</v>
      </c>
      <c r="M4">
        <v>0.54</v>
      </c>
      <c r="O4">
        <v>3000</v>
      </c>
      <c r="P4">
        <v>3500</v>
      </c>
      <c r="T4">
        <v>2</v>
      </c>
      <c r="W4">
        <v>23</v>
      </c>
      <c r="X4">
        <v>25</v>
      </c>
      <c r="Y4" t="s">
        <v>35</v>
      </c>
    </row>
    <row r="5" spans="1:25">
      <c r="A5" t="s">
        <v>38</v>
      </c>
      <c r="B5" s="2" t="str">
        <f>Hyperlink("https://www.diodes.com/datasheet/download/2N7002DW.pdf")</f>
        <v>https://www.diodes.com/datasheet/download/2N7002DW.pdf</v>
      </c>
      <c r="C5" t="str">
        <f>Hyperlink("https://www.diodes.com/part/view/2N7002DW","2N7002DW")</f>
        <v>2N7002DW</v>
      </c>
      <c r="D5" t="s">
        <v>39</v>
      </c>
      <c r="E5" t="s">
        <v>27</v>
      </c>
      <c r="F5" t="s">
        <v>28</v>
      </c>
      <c r="G5" t="s">
        <v>40</v>
      </c>
      <c r="H5" t="s">
        <v>30</v>
      </c>
      <c r="I5">
        <v>60</v>
      </c>
      <c r="J5">
        <v>20</v>
      </c>
      <c r="K5">
        <v>0.23</v>
      </c>
      <c r="M5">
        <v>0.31</v>
      </c>
      <c r="O5">
        <v>13500</v>
      </c>
      <c r="P5" t="s">
        <v>41</v>
      </c>
      <c r="T5">
        <v>2</v>
      </c>
      <c r="W5" t="s">
        <v>31</v>
      </c>
      <c r="Y5" t="s">
        <v>42</v>
      </c>
    </row>
    <row r="6" spans="1:25">
      <c r="A6" t="s">
        <v>43</v>
      </c>
      <c r="B6" s="2" t="str">
        <f>Hyperlink("https://www.diodes.com/datasheet/download/2N7002DWK.pdf")</f>
        <v>https://www.diodes.com/datasheet/download/2N7002DWK.pdf</v>
      </c>
      <c r="C6" t="str">
        <f>Hyperlink("https://www.diodes.com/part/view/2N7002DWK","2N7002DWK")</f>
        <v>2N7002DWK</v>
      </c>
      <c r="D6" t="s">
        <v>39</v>
      </c>
      <c r="E6" t="s">
        <v>30</v>
      </c>
      <c r="F6" t="s">
        <v>28</v>
      </c>
      <c r="G6" t="s">
        <v>40</v>
      </c>
      <c r="H6" t="s">
        <v>27</v>
      </c>
      <c r="I6">
        <v>60</v>
      </c>
      <c r="J6">
        <v>20</v>
      </c>
      <c r="K6">
        <v>0.261</v>
      </c>
      <c r="M6">
        <v>0.45</v>
      </c>
      <c r="O6">
        <v>3000</v>
      </c>
      <c r="P6">
        <v>4000</v>
      </c>
      <c r="T6">
        <v>2</v>
      </c>
      <c r="U6">
        <v>0.51</v>
      </c>
      <c r="V6">
        <v>1.04</v>
      </c>
      <c r="W6">
        <v>41</v>
      </c>
      <c r="X6">
        <v>25</v>
      </c>
      <c r="Y6" t="s">
        <v>42</v>
      </c>
    </row>
    <row r="7" spans="1:25">
      <c r="A7" t="s">
        <v>44</v>
      </c>
      <c r="B7" s="2" t="str">
        <f>Hyperlink("https://www.diodes.com/datasheet/download/2N7002DWQ.pdf")</f>
        <v>https://www.diodes.com/datasheet/download/2N7002DWQ.pdf</v>
      </c>
      <c r="C7" t="str">
        <f>Hyperlink("https://www.diodes.com/part/view/2N7002DWQ","2N7002DWQ")</f>
        <v>2N7002DWQ</v>
      </c>
      <c r="D7" t="s">
        <v>39</v>
      </c>
      <c r="E7" t="s">
        <v>27</v>
      </c>
      <c r="F7" t="s">
        <v>37</v>
      </c>
      <c r="G7" t="s">
        <v>40</v>
      </c>
      <c r="H7" t="s">
        <v>30</v>
      </c>
      <c r="I7">
        <v>60</v>
      </c>
      <c r="J7">
        <v>20</v>
      </c>
      <c r="K7">
        <v>0.23</v>
      </c>
      <c r="M7">
        <v>0.4</v>
      </c>
      <c r="O7">
        <v>13500</v>
      </c>
      <c r="P7" t="s">
        <v>41</v>
      </c>
      <c r="T7">
        <v>2</v>
      </c>
      <c r="U7">
        <v>0.223</v>
      </c>
      <c r="W7">
        <v>22</v>
      </c>
      <c r="X7">
        <v>25</v>
      </c>
      <c r="Y7" t="s">
        <v>42</v>
      </c>
    </row>
    <row r="8" spans="1:25">
      <c r="A8" t="s">
        <v>45</v>
      </c>
      <c r="B8" s="2" t="str">
        <f>Hyperlink("https://www.diodes.com/datasheet/download/2N7002DWS.pdf")</f>
        <v>https://www.diodes.com/datasheet/download/2N7002DWS.pdf</v>
      </c>
      <c r="C8" t="str">
        <f>Hyperlink("https://www.diodes.com/part/view/2N7002DWS","2N7002DWS")</f>
        <v>2N7002DWS</v>
      </c>
      <c r="D8" t="s">
        <v>46</v>
      </c>
      <c r="E8" t="s">
        <v>30</v>
      </c>
      <c r="F8" t="s">
        <v>28</v>
      </c>
      <c r="G8" t="s">
        <v>40</v>
      </c>
      <c r="H8" t="s">
        <v>27</v>
      </c>
      <c r="I8">
        <v>60</v>
      </c>
      <c r="J8">
        <v>20</v>
      </c>
      <c r="K8">
        <v>0.247</v>
      </c>
      <c r="M8">
        <v>0.29</v>
      </c>
      <c r="O8">
        <v>4000</v>
      </c>
      <c r="P8">
        <v>4100</v>
      </c>
      <c r="T8">
        <v>2.5</v>
      </c>
      <c r="U8">
        <v>0.9</v>
      </c>
      <c r="W8">
        <v>41</v>
      </c>
      <c r="X8">
        <v>25</v>
      </c>
      <c r="Y8" t="s">
        <v>42</v>
      </c>
    </row>
    <row r="9" spans="1:25">
      <c r="A9" t="s">
        <v>47</v>
      </c>
      <c r="B9" s="2" t="str">
        <f>Hyperlink("https://www.diodes.com/datasheet/download/2N7002E.pdf")</f>
        <v>https://www.diodes.com/datasheet/download/2N7002E.pdf</v>
      </c>
      <c r="C9" t="str">
        <f>Hyperlink("https://www.diodes.com/part/view/2N7002E","2N7002E")</f>
        <v>2N7002E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>
        <v>60</v>
      </c>
      <c r="J9">
        <v>20</v>
      </c>
      <c r="K9">
        <v>0.3</v>
      </c>
      <c r="M9">
        <v>0.37</v>
      </c>
      <c r="O9">
        <v>3000</v>
      </c>
      <c r="P9">
        <v>4000</v>
      </c>
      <c r="T9">
        <v>2.5</v>
      </c>
      <c r="U9">
        <v>0.223</v>
      </c>
      <c r="W9" t="s">
        <v>31</v>
      </c>
      <c r="Y9" t="s">
        <v>35</v>
      </c>
    </row>
    <row r="10" spans="1:25">
      <c r="A10" t="s">
        <v>48</v>
      </c>
      <c r="B10" s="2" t="str">
        <f>Hyperlink("https://www.diodes.com/datasheet/download/2N7002EQ.pdf")</f>
        <v>https://www.diodes.com/datasheet/download/2N7002EQ.pdf</v>
      </c>
      <c r="C10" t="str">
        <f>Hyperlink("https://www.diodes.com/part/view/2N7002EQ","2N7002EQ")</f>
        <v>2N7002EQ</v>
      </c>
      <c r="D10" t="s">
        <v>26</v>
      </c>
      <c r="E10" t="s">
        <v>27</v>
      </c>
      <c r="F10" t="s">
        <v>37</v>
      </c>
      <c r="G10" t="s">
        <v>29</v>
      </c>
      <c r="H10" t="s">
        <v>30</v>
      </c>
      <c r="I10">
        <v>60</v>
      </c>
      <c r="J10">
        <v>20</v>
      </c>
      <c r="K10">
        <v>0.334</v>
      </c>
      <c r="M10">
        <v>0.7</v>
      </c>
      <c r="O10">
        <v>3000</v>
      </c>
      <c r="P10">
        <v>4000</v>
      </c>
      <c r="T10">
        <v>2.5</v>
      </c>
      <c r="U10">
        <v>0.3</v>
      </c>
      <c r="V10">
        <v>0.5</v>
      </c>
      <c r="W10">
        <v>35</v>
      </c>
      <c r="X10">
        <v>30</v>
      </c>
      <c r="Y10" t="s">
        <v>35</v>
      </c>
    </row>
    <row r="11" spans="1:25">
      <c r="A11" t="s">
        <v>49</v>
      </c>
      <c r="B11" s="2" t="str">
        <f>Hyperlink("https://www.diodes.com/datasheet/download/2N7002H.pdf")</f>
        <v>https://www.diodes.com/datasheet/download/2N7002H.pdf</v>
      </c>
      <c r="C11" t="str">
        <f>Hyperlink("https://www.diodes.com/part/view/2N7002H","2N7002H")</f>
        <v>2N7002H</v>
      </c>
      <c r="D11" t="s">
        <v>26</v>
      </c>
      <c r="E11" t="s">
        <v>27</v>
      </c>
      <c r="F11" t="s">
        <v>28</v>
      </c>
      <c r="G11" t="s">
        <v>29</v>
      </c>
      <c r="H11" t="s">
        <v>30</v>
      </c>
      <c r="I11">
        <v>60</v>
      </c>
      <c r="J11">
        <v>20</v>
      </c>
      <c r="K11">
        <v>0.21</v>
      </c>
      <c r="M11">
        <v>0.51</v>
      </c>
      <c r="P11">
        <v>7500</v>
      </c>
      <c r="T11">
        <v>3</v>
      </c>
      <c r="U11">
        <v>0.352</v>
      </c>
      <c r="W11">
        <v>26</v>
      </c>
      <c r="X11">
        <v>25</v>
      </c>
      <c r="Y11" t="s">
        <v>35</v>
      </c>
    </row>
    <row r="12" spans="1:25">
      <c r="A12" t="s">
        <v>50</v>
      </c>
      <c r="B12" s="2" t="str">
        <f>Hyperlink("https://www.diodes.com/datasheet/download/2N7002K.pdf")</f>
        <v>https://www.diodes.com/datasheet/download/2N7002K.pdf</v>
      </c>
      <c r="C12" t="str">
        <f>Hyperlink("https://www.diodes.com/part/view/2N7002K","2N7002K")</f>
        <v>2N7002K</v>
      </c>
      <c r="D12" t="s">
        <v>26</v>
      </c>
      <c r="E12" t="s">
        <v>27</v>
      </c>
      <c r="F12" t="s">
        <v>28</v>
      </c>
      <c r="G12" t="s">
        <v>29</v>
      </c>
      <c r="H12" t="s">
        <v>27</v>
      </c>
      <c r="I12">
        <v>60</v>
      </c>
      <c r="J12">
        <v>20</v>
      </c>
      <c r="K12">
        <v>0.38</v>
      </c>
      <c r="M12">
        <v>0.37</v>
      </c>
      <c r="O12">
        <v>2000</v>
      </c>
      <c r="P12">
        <v>3000</v>
      </c>
      <c r="T12">
        <v>2.5</v>
      </c>
      <c r="W12" t="s">
        <v>51</v>
      </c>
      <c r="Y12" t="s">
        <v>32</v>
      </c>
    </row>
    <row r="13" spans="1:25">
      <c r="A13" t="s">
        <v>52</v>
      </c>
      <c r="B13" s="2" t="str">
        <f>Hyperlink("https://www.diodes.com/datasheet/download/2N7002KQ.pdf")</f>
        <v>https://www.diodes.com/datasheet/download/2N7002KQ.pdf</v>
      </c>
      <c r="C13" t="str">
        <f>Hyperlink("https://www.diodes.com/part/view/2N7002KQ","2N7002KQ")</f>
        <v>2N7002KQ</v>
      </c>
      <c r="D13" t="s">
        <v>26</v>
      </c>
      <c r="E13" t="s">
        <v>27</v>
      </c>
      <c r="F13" t="s">
        <v>37</v>
      </c>
      <c r="G13" t="s">
        <v>29</v>
      </c>
      <c r="H13" t="s">
        <v>27</v>
      </c>
      <c r="I13">
        <v>60</v>
      </c>
      <c r="J13">
        <v>20</v>
      </c>
      <c r="K13">
        <v>0.38</v>
      </c>
      <c r="M13">
        <v>0.37</v>
      </c>
      <c r="O13">
        <v>2000</v>
      </c>
      <c r="P13">
        <v>3000</v>
      </c>
      <c r="T13">
        <v>2.5</v>
      </c>
      <c r="U13">
        <v>0.3</v>
      </c>
      <c r="Y13" t="s">
        <v>35</v>
      </c>
    </row>
    <row r="14" spans="1:25">
      <c r="A14" t="s">
        <v>53</v>
      </c>
      <c r="B14" s="2" t="str">
        <f>Hyperlink("https://www.diodes.com/datasheet/download/2N7002Q.pdf")</f>
        <v>https://www.diodes.com/datasheet/download/2N7002Q.pdf</v>
      </c>
      <c r="C14" t="str">
        <f>Hyperlink("https://www.diodes.com/part/view/2N7002Q","2N7002Q")</f>
        <v>2N7002Q</v>
      </c>
      <c r="D14" t="s">
        <v>54</v>
      </c>
      <c r="E14" t="s">
        <v>27</v>
      </c>
      <c r="F14" t="s">
        <v>37</v>
      </c>
      <c r="G14" t="s">
        <v>29</v>
      </c>
      <c r="H14" t="s">
        <v>30</v>
      </c>
      <c r="I14">
        <v>60</v>
      </c>
      <c r="J14">
        <v>20</v>
      </c>
      <c r="K14">
        <v>0.21</v>
      </c>
      <c r="M14">
        <v>0.54</v>
      </c>
      <c r="O14">
        <v>5000</v>
      </c>
      <c r="P14" t="s">
        <v>41</v>
      </c>
      <c r="T14">
        <v>2.5</v>
      </c>
      <c r="U14">
        <v>0.223</v>
      </c>
      <c r="W14">
        <v>22</v>
      </c>
      <c r="X14">
        <v>25</v>
      </c>
      <c r="Y14" t="s">
        <v>35</v>
      </c>
    </row>
    <row r="15" spans="1:25">
      <c r="A15" t="s">
        <v>55</v>
      </c>
      <c r="B15" s="2" t="str">
        <f>Hyperlink("https://www.diodes.com/datasheet/download/2N7002T.pdf")</f>
        <v>https://www.diodes.com/datasheet/download/2N7002T.pdf</v>
      </c>
      <c r="C15" t="str">
        <f>Hyperlink("https://www.diodes.com/part/view/2N7002T","2N7002T")</f>
        <v>2N7002T</v>
      </c>
      <c r="D15" t="s">
        <v>26</v>
      </c>
      <c r="E15" t="s">
        <v>27</v>
      </c>
      <c r="F15" t="s">
        <v>28</v>
      </c>
      <c r="G15" t="s">
        <v>29</v>
      </c>
      <c r="H15" t="s">
        <v>30</v>
      </c>
      <c r="I15">
        <v>60</v>
      </c>
      <c r="J15">
        <v>20</v>
      </c>
      <c r="K15">
        <v>0.115</v>
      </c>
      <c r="M15">
        <v>0.15</v>
      </c>
      <c r="O15">
        <v>13500</v>
      </c>
      <c r="P15" t="s">
        <v>41</v>
      </c>
      <c r="T15">
        <v>2</v>
      </c>
      <c r="W15" t="s">
        <v>31</v>
      </c>
      <c r="Y15" t="s">
        <v>56</v>
      </c>
    </row>
    <row r="16" spans="1:25">
      <c r="A16" t="s">
        <v>57</v>
      </c>
      <c r="B16" s="2" t="str">
        <f>Hyperlink("https://www.diodes.com/datasheet/download/2N7002TQ.pdf")</f>
        <v>https://www.diodes.com/datasheet/download/2N7002TQ.pdf</v>
      </c>
      <c r="C16" t="str">
        <f>Hyperlink("https://www.diodes.com/part/view/2N7002TQ","2N7002TQ")</f>
        <v>2N7002TQ</v>
      </c>
      <c r="D16" t="s">
        <v>26</v>
      </c>
      <c r="E16" t="s">
        <v>27</v>
      </c>
      <c r="F16" t="s">
        <v>37</v>
      </c>
      <c r="G16" t="s">
        <v>29</v>
      </c>
      <c r="H16" t="s">
        <v>30</v>
      </c>
      <c r="I16">
        <v>60</v>
      </c>
      <c r="J16">
        <v>20</v>
      </c>
      <c r="K16">
        <v>0.115</v>
      </c>
      <c r="M16">
        <v>0.15</v>
      </c>
      <c r="O16">
        <v>13500</v>
      </c>
      <c r="P16" t="s">
        <v>41</v>
      </c>
      <c r="T16">
        <v>2</v>
      </c>
      <c r="W16">
        <v>22</v>
      </c>
      <c r="X16">
        <v>25</v>
      </c>
      <c r="Y16" t="s">
        <v>56</v>
      </c>
    </row>
    <row r="17" spans="1:25">
      <c r="A17" t="s">
        <v>58</v>
      </c>
      <c r="B17" s="2" t="str">
        <f>Hyperlink("https://www.diodes.com/datasheet/download/2N7002VAC.pdf")</f>
        <v>https://www.diodes.com/datasheet/download/2N7002VAC.pdf</v>
      </c>
      <c r="C17" t="str">
        <f>Hyperlink("https://www.diodes.com/part/view/2N7002VAC","2N7002VAC")</f>
        <v>2N7002VAC</v>
      </c>
      <c r="D17" t="s">
        <v>39</v>
      </c>
      <c r="E17" t="s">
        <v>27</v>
      </c>
      <c r="F17" t="s">
        <v>28</v>
      </c>
      <c r="G17" t="s">
        <v>40</v>
      </c>
      <c r="H17" t="s">
        <v>30</v>
      </c>
      <c r="I17">
        <v>60</v>
      </c>
      <c r="J17">
        <v>20</v>
      </c>
      <c r="K17">
        <v>0.28</v>
      </c>
      <c r="M17">
        <v>0.15</v>
      </c>
      <c r="O17">
        <v>13500</v>
      </c>
      <c r="P17" t="s">
        <v>41</v>
      </c>
      <c r="T17">
        <v>2.5</v>
      </c>
      <c r="W17" t="s">
        <v>59</v>
      </c>
      <c r="Y17" t="s">
        <v>60</v>
      </c>
    </row>
    <row r="18" spans="1:25">
      <c r="A18" t="s">
        <v>61</v>
      </c>
      <c r="B18" s="2" t="str">
        <f>Hyperlink("https://www.diodes.com/datasheet/download/2N7002VC.pdf")</f>
        <v>https://www.diodes.com/datasheet/download/2N7002VC.pdf</v>
      </c>
      <c r="C18" t="str">
        <f>Hyperlink("https://www.diodes.com/part/view/2N7002VC","2N7002VC")</f>
        <v>2N7002VC</v>
      </c>
      <c r="D18" t="s">
        <v>39</v>
      </c>
      <c r="E18" t="s">
        <v>27</v>
      </c>
      <c r="F18" t="s">
        <v>28</v>
      </c>
      <c r="G18" t="s">
        <v>40</v>
      </c>
      <c r="H18" t="s">
        <v>30</v>
      </c>
      <c r="I18">
        <v>60</v>
      </c>
      <c r="J18">
        <v>20</v>
      </c>
      <c r="K18">
        <v>0.28</v>
      </c>
      <c r="M18">
        <v>0.15</v>
      </c>
      <c r="O18">
        <v>13500</v>
      </c>
      <c r="P18" t="s">
        <v>41</v>
      </c>
      <c r="T18">
        <v>2.5</v>
      </c>
      <c r="W18" t="s">
        <v>59</v>
      </c>
      <c r="Y18" t="s">
        <v>60</v>
      </c>
    </row>
    <row r="19" spans="1:25">
      <c r="A19" t="s">
        <v>62</v>
      </c>
      <c r="B19" s="2" t="str">
        <f>Hyperlink("https://www.diodes.com/datasheet/download/2N7002W.pdf")</f>
        <v>https://www.diodes.com/datasheet/download/2N7002W.pdf</v>
      </c>
      <c r="C19" t="str">
        <f>Hyperlink("https://www.diodes.com/part/view/2N7002W","2N7002W")</f>
        <v>2N7002W</v>
      </c>
      <c r="D19" t="s">
        <v>26</v>
      </c>
      <c r="E19" t="s">
        <v>27</v>
      </c>
      <c r="F19" t="s">
        <v>28</v>
      </c>
      <c r="G19" t="s">
        <v>29</v>
      </c>
      <c r="H19" t="s">
        <v>30</v>
      </c>
      <c r="I19">
        <v>60</v>
      </c>
      <c r="J19">
        <v>20</v>
      </c>
      <c r="K19">
        <v>0.115</v>
      </c>
      <c r="M19">
        <v>0.2</v>
      </c>
      <c r="O19">
        <v>13500</v>
      </c>
      <c r="P19" t="s">
        <v>41</v>
      </c>
      <c r="T19">
        <v>2</v>
      </c>
      <c r="W19" t="s">
        <v>31</v>
      </c>
      <c r="Y19" t="s">
        <v>63</v>
      </c>
    </row>
    <row r="20" spans="1:25">
      <c r="A20" t="s">
        <v>64</v>
      </c>
      <c r="B20" s="2" t="str">
        <f>Hyperlink("https://www.diodes.com/datasheet/download/BS107P.pdf")</f>
        <v>https://www.diodes.com/datasheet/download/BS107P.pdf</v>
      </c>
      <c r="C20" t="str">
        <f>Hyperlink("https://www.diodes.com/part/view/BS107P","BS107P")</f>
        <v>BS107P</v>
      </c>
      <c r="D20" t="s">
        <v>65</v>
      </c>
      <c r="E20" t="s">
        <v>27</v>
      </c>
      <c r="F20" t="s">
        <v>28</v>
      </c>
      <c r="G20" t="s">
        <v>29</v>
      </c>
      <c r="H20" t="s">
        <v>30</v>
      </c>
      <c r="I20">
        <v>200</v>
      </c>
      <c r="J20">
        <v>20</v>
      </c>
      <c r="K20">
        <v>0.12</v>
      </c>
      <c r="P20">
        <v>30000</v>
      </c>
      <c r="Q20">
        <v>23000</v>
      </c>
      <c r="T20">
        <v>3</v>
      </c>
      <c r="V20">
        <v>2.7</v>
      </c>
      <c r="W20" t="s">
        <v>66</v>
      </c>
      <c r="Y20" t="s">
        <v>67</v>
      </c>
    </row>
    <row r="21" spans="1:25">
      <c r="A21" t="s">
        <v>68</v>
      </c>
      <c r="B21" s="2" t="str">
        <f>Hyperlink("https://www.diodes.com/datasheet/download/BS170F.pdf")</f>
        <v>https://www.diodes.com/datasheet/download/BS170F.pdf</v>
      </c>
      <c r="C21" t="str">
        <f>Hyperlink("https://www.diodes.com/part/view/BS170F","BS170F")</f>
        <v>BS170F</v>
      </c>
      <c r="D21" t="s">
        <v>26</v>
      </c>
      <c r="E21" t="s">
        <v>27</v>
      </c>
      <c r="F21" t="s">
        <v>28</v>
      </c>
      <c r="G21" t="s">
        <v>29</v>
      </c>
      <c r="H21" t="s">
        <v>30</v>
      </c>
      <c r="I21">
        <v>60</v>
      </c>
      <c r="J21">
        <v>20</v>
      </c>
      <c r="K21">
        <v>0.15</v>
      </c>
      <c r="M21">
        <v>0.33</v>
      </c>
      <c r="O21">
        <v>5000</v>
      </c>
      <c r="T21">
        <v>3</v>
      </c>
      <c r="W21" t="s">
        <v>69</v>
      </c>
      <c r="Y21" t="s">
        <v>35</v>
      </c>
    </row>
    <row r="22" spans="1:25">
      <c r="A22" t="s">
        <v>70</v>
      </c>
      <c r="B22" s="2" t="str">
        <f>Hyperlink("https://www.diodes.com/datasheet/download/BS170P.pdf")</f>
        <v>https://www.diodes.com/datasheet/download/BS170P.pdf</v>
      </c>
      <c r="C22" t="str">
        <f>Hyperlink("https://www.diodes.com/part/view/BS170P","BS170P")</f>
        <v>BS170P</v>
      </c>
      <c r="D22" t="s">
        <v>71</v>
      </c>
      <c r="E22" t="s">
        <v>30</v>
      </c>
      <c r="F22" t="s">
        <v>28</v>
      </c>
      <c r="G22" t="s">
        <v>29</v>
      </c>
      <c r="H22" t="s">
        <v>30</v>
      </c>
      <c r="I22">
        <v>60</v>
      </c>
      <c r="J22">
        <v>20</v>
      </c>
      <c r="K22">
        <v>0.27</v>
      </c>
      <c r="M22">
        <v>0.625</v>
      </c>
      <c r="O22">
        <v>5000</v>
      </c>
      <c r="T22">
        <v>3</v>
      </c>
      <c r="W22">
        <v>60</v>
      </c>
      <c r="X22">
        <v>10</v>
      </c>
      <c r="Y22" t="s">
        <v>72</v>
      </c>
    </row>
    <row r="23" spans="1:25">
      <c r="A23" t="s">
        <v>73</v>
      </c>
      <c r="B23" s="2" t="str">
        <f>Hyperlink("https://www.diodes.com/datasheet/download/BS250F.pdf")</f>
        <v>https://www.diodes.com/datasheet/download/BS250F.pdf</v>
      </c>
      <c r="C23" t="str">
        <f>Hyperlink("https://www.diodes.com/part/view/BS250F","BS250F")</f>
        <v>BS250F</v>
      </c>
      <c r="D23" t="s">
        <v>74</v>
      </c>
      <c r="E23" t="s">
        <v>27</v>
      </c>
      <c r="F23" t="s">
        <v>28</v>
      </c>
      <c r="G23" t="s">
        <v>75</v>
      </c>
      <c r="H23" t="s">
        <v>30</v>
      </c>
      <c r="I23">
        <v>45</v>
      </c>
      <c r="J23">
        <v>20</v>
      </c>
      <c r="K23">
        <v>0.09</v>
      </c>
      <c r="M23">
        <v>0.33</v>
      </c>
      <c r="O23">
        <v>14000</v>
      </c>
      <c r="T23">
        <v>3.5</v>
      </c>
      <c r="W23" t="s">
        <v>76</v>
      </c>
      <c r="Y23" t="s">
        <v>35</v>
      </c>
    </row>
    <row r="24" spans="1:25">
      <c r="A24" t="s">
        <v>77</v>
      </c>
      <c r="B24" s="2" t="str">
        <f>Hyperlink("https://www.diodes.com/datasheet/download/BS250P.pdf")</f>
        <v>https://www.diodes.com/datasheet/download/BS250P.pdf</v>
      </c>
      <c r="C24" t="str">
        <f>Hyperlink("https://www.diodes.com/part/view/BS250P","BS250P")</f>
        <v>BS250P</v>
      </c>
      <c r="D24" t="s">
        <v>78</v>
      </c>
      <c r="E24" t="s">
        <v>27</v>
      </c>
      <c r="F24" t="s">
        <v>28</v>
      </c>
      <c r="G24" t="s">
        <v>75</v>
      </c>
      <c r="H24" t="s">
        <v>30</v>
      </c>
      <c r="I24">
        <v>45</v>
      </c>
      <c r="J24">
        <v>20</v>
      </c>
      <c r="K24">
        <v>0.23</v>
      </c>
      <c r="M24">
        <v>0.7</v>
      </c>
      <c r="O24">
        <v>14000</v>
      </c>
      <c r="T24">
        <v>3.5</v>
      </c>
      <c r="W24" t="s">
        <v>79</v>
      </c>
      <c r="Y24" t="s">
        <v>67</v>
      </c>
    </row>
    <row r="25" spans="1:25">
      <c r="A25" t="s">
        <v>80</v>
      </c>
      <c r="B25" s="2" t="str">
        <f>Hyperlink("https://www.diodes.com/datasheet/download/BS870.pdf")</f>
        <v>https://www.diodes.com/datasheet/download/BS870.pdf</v>
      </c>
      <c r="C25" t="str">
        <f>Hyperlink("https://www.diodes.com/part/view/BS870","BS870")</f>
        <v>BS870</v>
      </c>
      <c r="D25" t="s">
        <v>26</v>
      </c>
      <c r="E25" t="s">
        <v>27</v>
      </c>
      <c r="F25" t="s">
        <v>28</v>
      </c>
      <c r="G25" t="s">
        <v>29</v>
      </c>
      <c r="H25" t="s">
        <v>30</v>
      </c>
      <c r="I25">
        <v>60</v>
      </c>
      <c r="J25">
        <v>20</v>
      </c>
      <c r="K25">
        <v>0.25</v>
      </c>
      <c r="M25">
        <v>0.3</v>
      </c>
      <c r="O25">
        <v>5000</v>
      </c>
      <c r="T25">
        <v>3</v>
      </c>
      <c r="W25" t="s">
        <v>81</v>
      </c>
      <c r="Y25" t="s">
        <v>35</v>
      </c>
    </row>
    <row r="26" spans="1:25">
      <c r="A26" t="s">
        <v>82</v>
      </c>
      <c r="B26" s="2" t="str">
        <f>Hyperlink("https://www.diodes.com/datasheet/download/BS870Q.pdf")</f>
        <v>https://www.diodes.com/datasheet/download/BS870Q.pdf</v>
      </c>
      <c r="C26" t="str">
        <f>Hyperlink("https://www.diodes.com/part/view/BS870Q","BS870Q")</f>
        <v>BS870Q</v>
      </c>
      <c r="D26" t="s">
        <v>26</v>
      </c>
      <c r="E26" t="s">
        <v>27</v>
      </c>
      <c r="F26" t="s">
        <v>37</v>
      </c>
      <c r="G26" t="s">
        <v>29</v>
      </c>
      <c r="H26" t="s">
        <v>30</v>
      </c>
      <c r="I26">
        <v>60</v>
      </c>
      <c r="J26">
        <v>20</v>
      </c>
      <c r="K26">
        <v>0.25</v>
      </c>
      <c r="M26">
        <v>0.3</v>
      </c>
      <c r="O26">
        <v>5000</v>
      </c>
      <c r="T26">
        <v>3</v>
      </c>
      <c r="W26">
        <v>50</v>
      </c>
      <c r="X26">
        <v>10</v>
      </c>
      <c r="Y26" t="s">
        <v>35</v>
      </c>
    </row>
    <row r="27" spans="1:25">
      <c r="A27" t="s">
        <v>83</v>
      </c>
      <c r="B27" s="2" t="str">
        <f>Hyperlink("https://www.diodes.com/datasheet/download/BSN20.pdf")</f>
        <v>https://www.diodes.com/datasheet/download/BSN20.pdf</v>
      </c>
      <c r="C27" t="str">
        <f>Hyperlink("https://www.diodes.com/part/view/BSN20","BSN20")</f>
        <v>BSN20</v>
      </c>
      <c r="D27" t="s">
        <v>26</v>
      </c>
      <c r="E27" t="s">
        <v>27</v>
      </c>
      <c r="F27" t="s">
        <v>28</v>
      </c>
      <c r="G27" t="s">
        <v>29</v>
      </c>
      <c r="H27" t="s">
        <v>30</v>
      </c>
      <c r="I27">
        <v>50</v>
      </c>
      <c r="J27">
        <v>20</v>
      </c>
      <c r="K27">
        <v>0.5</v>
      </c>
      <c r="M27">
        <v>0.6</v>
      </c>
      <c r="O27">
        <v>1800</v>
      </c>
      <c r="P27">
        <v>2000</v>
      </c>
      <c r="T27">
        <v>1.5</v>
      </c>
      <c r="V27">
        <v>0.8</v>
      </c>
      <c r="W27" t="s">
        <v>84</v>
      </c>
      <c r="Y27" t="s">
        <v>35</v>
      </c>
    </row>
    <row r="28" spans="1:25">
      <c r="A28" t="s">
        <v>85</v>
      </c>
      <c r="B28" s="2" t="str">
        <f>Hyperlink("https://www.diodes.com/datasheet/download/BSS123.pdf")</f>
        <v>https://www.diodes.com/datasheet/download/BSS123.pdf</v>
      </c>
      <c r="C28" t="str">
        <f>Hyperlink("https://www.diodes.com/part/view/BSS123","BSS123")</f>
        <v>BSS123</v>
      </c>
      <c r="D28" t="s">
        <v>26</v>
      </c>
      <c r="E28" t="s">
        <v>27</v>
      </c>
      <c r="F28" t="s">
        <v>28</v>
      </c>
      <c r="G28" t="s">
        <v>29</v>
      </c>
      <c r="H28" t="s">
        <v>30</v>
      </c>
      <c r="I28">
        <v>100</v>
      </c>
      <c r="J28">
        <v>20</v>
      </c>
      <c r="K28">
        <v>0.17</v>
      </c>
      <c r="M28">
        <v>0.3</v>
      </c>
      <c r="O28">
        <v>6000</v>
      </c>
      <c r="P28">
        <v>10000</v>
      </c>
      <c r="T28">
        <v>2</v>
      </c>
      <c r="W28" t="s">
        <v>31</v>
      </c>
      <c r="Y28" t="s">
        <v>35</v>
      </c>
    </row>
    <row r="29" spans="1:25">
      <c r="A29" t="s">
        <v>86</v>
      </c>
      <c r="B29" s="2" t="str">
        <f>Hyperlink("https://www.diodes.com/datasheet/download/BSS123%28Z%29.pdf")</f>
        <v>https://www.diodes.com/datasheet/download/BSS123%28Z%29.pdf</v>
      </c>
      <c r="C29" t="str">
        <f>Hyperlink("https://www.diodes.com/part/view/BSS123%28Z%29","BSS123(Z)")</f>
        <v>BSS123(Z)</v>
      </c>
      <c r="D29" t="s">
        <v>26</v>
      </c>
      <c r="E29" t="s">
        <v>27</v>
      </c>
      <c r="F29" t="s">
        <v>28</v>
      </c>
      <c r="G29" t="s">
        <v>29</v>
      </c>
      <c r="H29" t="s">
        <v>30</v>
      </c>
      <c r="I29">
        <v>100</v>
      </c>
      <c r="J29">
        <v>20</v>
      </c>
      <c r="K29">
        <v>0.17</v>
      </c>
      <c r="M29">
        <v>0.36</v>
      </c>
      <c r="O29">
        <v>6000</v>
      </c>
      <c r="T29">
        <v>2.8</v>
      </c>
      <c r="W29" t="s">
        <v>87</v>
      </c>
      <c r="Y29" t="s">
        <v>35</v>
      </c>
    </row>
    <row r="30" spans="1:25">
      <c r="A30" t="s">
        <v>88</v>
      </c>
      <c r="B30" s="2" t="str">
        <f>Hyperlink("https://www.diodes.com/datasheet/download/BSS123K.pdf")</f>
        <v>https://www.diodes.com/datasheet/download/BSS123K.pdf</v>
      </c>
      <c r="C30" t="str">
        <f>Hyperlink("https://www.diodes.com/part/view/BSS123K","BSS123K")</f>
        <v>BSS123K</v>
      </c>
      <c r="D30" t="s">
        <v>26</v>
      </c>
      <c r="E30" t="s">
        <v>30</v>
      </c>
      <c r="F30" t="s">
        <v>28</v>
      </c>
      <c r="G30" t="s">
        <v>29</v>
      </c>
      <c r="H30" t="s">
        <v>27</v>
      </c>
      <c r="I30">
        <v>100</v>
      </c>
      <c r="J30">
        <v>20</v>
      </c>
      <c r="K30">
        <v>0.23</v>
      </c>
      <c r="M30">
        <v>0.7</v>
      </c>
      <c r="O30">
        <v>6000</v>
      </c>
      <c r="P30">
        <v>10000</v>
      </c>
      <c r="T30">
        <v>2</v>
      </c>
      <c r="U30">
        <v>0.7</v>
      </c>
      <c r="V30">
        <v>1.3</v>
      </c>
      <c r="W30">
        <v>38</v>
      </c>
      <c r="X30">
        <v>50</v>
      </c>
      <c r="Y30" t="s">
        <v>35</v>
      </c>
    </row>
    <row r="31" spans="1:25">
      <c r="A31" t="s">
        <v>89</v>
      </c>
      <c r="B31" s="2" t="str">
        <f>Hyperlink("https://www.diodes.com/datasheet/download/BSS123Q.pdf")</f>
        <v>https://www.diodes.com/datasheet/download/BSS123Q.pdf</v>
      </c>
      <c r="C31" t="str">
        <f>Hyperlink("https://www.diodes.com/part/view/BSS123Q","BSS123Q")</f>
        <v>BSS123Q</v>
      </c>
      <c r="D31" t="s">
        <v>26</v>
      </c>
      <c r="E31" t="s">
        <v>27</v>
      </c>
      <c r="F31" t="s">
        <v>37</v>
      </c>
      <c r="G31" t="s">
        <v>29</v>
      </c>
      <c r="H31" t="s">
        <v>30</v>
      </c>
      <c r="I31">
        <v>100</v>
      </c>
      <c r="J31">
        <v>20</v>
      </c>
      <c r="K31">
        <v>0.17</v>
      </c>
      <c r="M31">
        <v>0.3</v>
      </c>
      <c r="O31">
        <v>6000</v>
      </c>
      <c r="P31">
        <v>10000</v>
      </c>
      <c r="T31">
        <v>2</v>
      </c>
      <c r="W31">
        <v>22</v>
      </c>
      <c r="X31">
        <v>25</v>
      </c>
      <c r="Y31" t="s">
        <v>35</v>
      </c>
    </row>
    <row r="32" spans="1:25">
      <c r="A32" t="s">
        <v>90</v>
      </c>
      <c r="B32" s="2" t="str">
        <f>Hyperlink("https://www.diodes.com/datasheet/download/BSS123W.pdf")</f>
        <v>https://www.diodes.com/datasheet/download/BSS123W.pdf</v>
      </c>
      <c r="C32" t="str">
        <f>Hyperlink("https://www.diodes.com/part/view/BSS123W","BSS123W")</f>
        <v>BSS123W</v>
      </c>
      <c r="D32" t="s">
        <v>26</v>
      </c>
      <c r="E32" t="s">
        <v>27</v>
      </c>
      <c r="F32" t="s">
        <v>28</v>
      </c>
      <c r="G32" t="s">
        <v>29</v>
      </c>
      <c r="H32" t="s">
        <v>30</v>
      </c>
      <c r="I32">
        <v>100</v>
      </c>
      <c r="J32">
        <v>20</v>
      </c>
      <c r="K32">
        <v>0.17</v>
      </c>
      <c r="M32">
        <v>0.2</v>
      </c>
      <c r="O32">
        <v>6000</v>
      </c>
      <c r="P32">
        <v>10000</v>
      </c>
      <c r="T32">
        <v>2</v>
      </c>
      <c r="W32" t="s">
        <v>91</v>
      </c>
      <c r="Y32" t="s">
        <v>92</v>
      </c>
    </row>
    <row r="33" spans="1:25">
      <c r="A33" t="s">
        <v>93</v>
      </c>
      <c r="B33" s="2" t="str">
        <f>Hyperlink("https://www.diodes.com/datasheet/download/BSS123WQ.pdf")</f>
        <v>https://www.diodes.com/datasheet/download/BSS123WQ.pdf</v>
      </c>
      <c r="C33" t="str">
        <f>Hyperlink("https://www.diodes.com/part/view/BSS123WQ","BSS123WQ")</f>
        <v>BSS123WQ</v>
      </c>
      <c r="D33" t="s">
        <v>26</v>
      </c>
      <c r="E33" t="s">
        <v>27</v>
      </c>
      <c r="F33" t="s">
        <v>37</v>
      </c>
      <c r="G33" t="s">
        <v>29</v>
      </c>
      <c r="H33" t="s">
        <v>30</v>
      </c>
      <c r="I33">
        <v>100</v>
      </c>
      <c r="J33">
        <v>20</v>
      </c>
      <c r="K33">
        <v>0.17</v>
      </c>
      <c r="M33">
        <v>0.2</v>
      </c>
      <c r="O33">
        <v>6000</v>
      </c>
      <c r="P33">
        <v>10000</v>
      </c>
      <c r="T33">
        <v>2</v>
      </c>
      <c r="Y33" t="s">
        <v>92</v>
      </c>
    </row>
    <row r="34" spans="1:25">
      <c r="A34" t="s">
        <v>94</v>
      </c>
      <c r="B34" s="2" t="str">
        <f>Hyperlink("https://www.diodes.com/datasheet/download/BSS127S.pdf")</f>
        <v>https://www.diodes.com/datasheet/download/BSS127S.pdf</v>
      </c>
      <c r="C34" t="str">
        <f>Hyperlink("https://www.diodes.com/part/view/BSS127S","BSS127S")</f>
        <v>BSS127S</v>
      </c>
      <c r="D34" t="s">
        <v>26</v>
      </c>
      <c r="E34" t="s">
        <v>27</v>
      </c>
      <c r="F34" t="s">
        <v>28</v>
      </c>
      <c r="G34" t="s">
        <v>29</v>
      </c>
      <c r="H34" t="s">
        <v>30</v>
      </c>
      <c r="I34">
        <v>600</v>
      </c>
      <c r="J34">
        <v>20</v>
      </c>
      <c r="K34">
        <v>0.07</v>
      </c>
      <c r="M34">
        <v>0.61</v>
      </c>
      <c r="O34">
        <v>160000</v>
      </c>
      <c r="P34">
        <v>190000</v>
      </c>
      <c r="T34">
        <v>4.5</v>
      </c>
      <c r="V34">
        <v>1.08</v>
      </c>
      <c r="W34" t="s">
        <v>95</v>
      </c>
      <c r="Y34" t="s">
        <v>35</v>
      </c>
    </row>
    <row r="35" spans="1:25">
      <c r="A35" t="s">
        <v>96</v>
      </c>
      <c r="B35" s="2" t="str">
        <f>Hyperlink("https://www.diodes.com/datasheet/download/BSS127SSN.pdf")</f>
        <v>https://www.diodes.com/datasheet/download/BSS127SSN.pdf</v>
      </c>
      <c r="C35" t="str">
        <f>Hyperlink("https://www.diodes.com/part/view/BSS127SSN","BSS127SSN")</f>
        <v>BSS127SSN</v>
      </c>
      <c r="D35" t="s">
        <v>97</v>
      </c>
      <c r="E35" t="s">
        <v>27</v>
      </c>
      <c r="F35" t="s">
        <v>28</v>
      </c>
      <c r="G35" t="s">
        <v>29</v>
      </c>
      <c r="H35" t="s">
        <v>30</v>
      </c>
      <c r="I35">
        <v>600</v>
      </c>
      <c r="J35">
        <v>20</v>
      </c>
      <c r="K35">
        <v>0.07</v>
      </c>
      <c r="M35">
        <v>0.61</v>
      </c>
      <c r="O35">
        <v>160000</v>
      </c>
      <c r="P35">
        <v>190000</v>
      </c>
      <c r="T35">
        <v>4.5</v>
      </c>
      <c r="V35">
        <v>1.08</v>
      </c>
      <c r="W35" t="s">
        <v>95</v>
      </c>
      <c r="Y35" t="s">
        <v>98</v>
      </c>
    </row>
    <row r="36" spans="1:25">
      <c r="A36" t="s">
        <v>99</v>
      </c>
      <c r="B36" s="2" t="str">
        <f>Hyperlink("https://www.diodes.com/datasheet/download/BSS138.pdf")</f>
        <v>https://www.diodes.com/datasheet/download/BSS138.pdf</v>
      </c>
      <c r="C36" t="str">
        <f>Hyperlink("https://www.diodes.com/part/view/BSS138","BSS138")</f>
        <v>BSS138</v>
      </c>
      <c r="D36" t="s">
        <v>26</v>
      </c>
      <c r="E36" t="s">
        <v>27</v>
      </c>
      <c r="F36" t="s">
        <v>28</v>
      </c>
      <c r="G36" t="s">
        <v>29</v>
      </c>
      <c r="H36" t="s">
        <v>30</v>
      </c>
      <c r="I36">
        <v>50</v>
      </c>
      <c r="J36">
        <v>20</v>
      </c>
      <c r="K36">
        <v>0.2</v>
      </c>
      <c r="M36">
        <v>0.3</v>
      </c>
      <c r="O36">
        <v>3500</v>
      </c>
      <c r="T36">
        <v>1.5</v>
      </c>
      <c r="W36" t="s">
        <v>100</v>
      </c>
      <c r="Y36" t="s">
        <v>32</v>
      </c>
    </row>
    <row r="37" spans="1:25">
      <c r="A37" t="s">
        <v>101</v>
      </c>
      <c r="B37" s="2" t="str">
        <f>Hyperlink("https://www.diodes.com/datasheet/download/BSS138DW.pdf")</f>
        <v>https://www.diodes.com/datasheet/download/BSS138DW.pdf</v>
      </c>
      <c r="C37" t="str">
        <f>Hyperlink("https://www.diodes.com/part/view/BSS138DW","BSS138DW")</f>
        <v>BSS138DW</v>
      </c>
      <c r="D37" t="s">
        <v>39</v>
      </c>
      <c r="E37" t="s">
        <v>27</v>
      </c>
      <c r="F37" t="s">
        <v>28</v>
      </c>
      <c r="G37" t="s">
        <v>40</v>
      </c>
      <c r="H37" t="s">
        <v>30</v>
      </c>
      <c r="I37">
        <v>50</v>
      </c>
      <c r="J37">
        <v>20</v>
      </c>
      <c r="K37">
        <v>0.2</v>
      </c>
      <c r="M37">
        <v>0.2</v>
      </c>
      <c r="O37">
        <v>3500</v>
      </c>
      <c r="T37">
        <v>1.5</v>
      </c>
      <c r="W37" t="s">
        <v>102</v>
      </c>
      <c r="Y37" t="s">
        <v>103</v>
      </c>
    </row>
    <row r="38" spans="1:25">
      <c r="A38" t="s">
        <v>104</v>
      </c>
      <c r="B38" s="2" t="str">
        <f>Hyperlink("https://www.diodes.com/datasheet/download/BSS138DWK.pdf")</f>
        <v>https://www.diodes.com/datasheet/download/BSS138DWK.pdf</v>
      </c>
      <c r="C38" t="str">
        <f>Hyperlink("https://www.diodes.com/part/view/BSS138DWK","BSS138DWK")</f>
        <v>BSS138DWK</v>
      </c>
      <c r="D38" t="s">
        <v>105</v>
      </c>
      <c r="E38" t="s">
        <v>27</v>
      </c>
      <c r="F38" t="s">
        <v>28</v>
      </c>
      <c r="G38" t="s">
        <v>40</v>
      </c>
      <c r="H38" t="s">
        <v>27</v>
      </c>
      <c r="I38">
        <v>50</v>
      </c>
      <c r="J38">
        <v>20</v>
      </c>
      <c r="K38">
        <v>0.31</v>
      </c>
      <c r="M38">
        <v>0.49</v>
      </c>
      <c r="O38">
        <v>2600</v>
      </c>
      <c r="P38">
        <v>3200</v>
      </c>
      <c r="Q38">
        <v>5200</v>
      </c>
      <c r="S38">
        <v>0.5</v>
      </c>
      <c r="T38">
        <v>1.5</v>
      </c>
      <c r="U38">
        <v>0.4</v>
      </c>
      <c r="V38">
        <v>0.8</v>
      </c>
      <c r="W38">
        <v>22</v>
      </c>
      <c r="X38">
        <v>25</v>
      </c>
      <c r="Y38" t="s">
        <v>42</v>
      </c>
    </row>
    <row r="39" spans="1:25">
      <c r="A39" t="s">
        <v>106</v>
      </c>
      <c r="B39" s="2" t="str">
        <f>Hyperlink("https://www.diodes.com/datasheet/download/BSS138DWQ.pdf")</f>
        <v>https://www.diodes.com/datasheet/download/BSS138DWQ.pdf</v>
      </c>
      <c r="C39" t="str">
        <f>Hyperlink("https://www.diodes.com/part/view/BSS138DWQ","BSS138DWQ")</f>
        <v>BSS138DWQ</v>
      </c>
      <c r="D39" t="s">
        <v>39</v>
      </c>
      <c r="E39" t="s">
        <v>27</v>
      </c>
      <c r="F39" t="s">
        <v>37</v>
      </c>
      <c r="G39" t="s">
        <v>40</v>
      </c>
      <c r="H39" t="s">
        <v>30</v>
      </c>
      <c r="I39">
        <v>50</v>
      </c>
      <c r="J39">
        <v>20</v>
      </c>
      <c r="K39">
        <v>0.2</v>
      </c>
      <c r="M39">
        <v>0.2</v>
      </c>
      <c r="O39">
        <v>3500</v>
      </c>
      <c r="T39">
        <v>1.5</v>
      </c>
      <c r="X39">
        <v>10</v>
      </c>
      <c r="Y39" t="s">
        <v>42</v>
      </c>
    </row>
    <row r="40" spans="1:25">
      <c r="A40" t="s">
        <v>107</v>
      </c>
      <c r="B40" s="2" t="str">
        <f>Hyperlink("https://www.diodes.com/datasheet/download/BSS138K.pdf")</f>
        <v>https://www.diodes.com/datasheet/download/BSS138K.pdf</v>
      </c>
      <c r="C40" t="str">
        <f>Hyperlink("https://www.diodes.com/part/view/BSS138K","BSS138K")</f>
        <v>BSS138K</v>
      </c>
      <c r="D40" t="s">
        <v>105</v>
      </c>
      <c r="E40" t="s">
        <v>30</v>
      </c>
      <c r="F40" t="s">
        <v>28</v>
      </c>
      <c r="G40" t="s">
        <v>29</v>
      </c>
      <c r="H40" t="s">
        <v>27</v>
      </c>
      <c r="I40">
        <v>50</v>
      </c>
      <c r="J40">
        <v>20</v>
      </c>
      <c r="K40">
        <v>0.31</v>
      </c>
      <c r="M40">
        <v>0.54</v>
      </c>
      <c r="O40">
        <v>3500</v>
      </c>
      <c r="T40">
        <v>1.5</v>
      </c>
      <c r="U40">
        <v>0.45</v>
      </c>
      <c r="V40">
        <v>0.95</v>
      </c>
      <c r="W40">
        <v>23.2</v>
      </c>
      <c r="X40">
        <v>25</v>
      </c>
      <c r="Y40" t="s">
        <v>35</v>
      </c>
    </row>
    <row r="41" spans="1:25">
      <c r="A41" t="s">
        <v>108</v>
      </c>
      <c r="B41" s="2" t="str">
        <f>Hyperlink("https://www.diodes.com/datasheet/download/BSS138Q.pdf")</f>
        <v>https://www.diodes.com/datasheet/download/BSS138Q.pdf</v>
      </c>
      <c r="C41" t="str">
        <f>Hyperlink("https://www.diodes.com/part/view/BSS138Q","BSS138Q")</f>
        <v>BSS138Q</v>
      </c>
      <c r="D41" t="s">
        <v>105</v>
      </c>
      <c r="E41" t="s">
        <v>27</v>
      </c>
      <c r="F41" t="s">
        <v>37</v>
      </c>
      <c r="G41" t="s">
        <v>29</v>
      </c>
      <c r="H41" t="s">
        <v>30</v>
      </c>
      <c r="I41">
        <v>50</v>
      </c>
      <c r="J41">
        <v>20</v>
      </c>
      <c r="K41">
        <v>0.2</v>
      </c>
      <c r="M41">
        <v>0.3</v>
      </c>
      <c r="O41">
        <v>3500</v>
      </c>
      <c r="T41">
        <v>1.5</v>
      </c>
      <c r="Y41" t="s">
        <v>35</v>
      </c>
    </row>
    <row r="42" spans="1:25">
      <c r="A42" t="s">
        <v>109</v>
      </c>
      <c r="B42" s="2" t="str">
        <f>Hyperlink("https://www.diodes.com/datasheet/download/BSS138W.pdf")</f>
        <v>https://www.diodes.com/datasheet/download/BSS138W.pdf</v>
      </c>
      <c r="C42" t="str">
        <f>Hyperlink("https://www.diodes.com/part/view/BSS138W","BSS138W")</f>
        <v>BSS138W</v>
      </c>
      <c r="D42" t="s">
        <v>26</v>
      </c>
      <c r="E42" t="s">
        <v>27</v>
      </c>
      <c r="F42" t="s">
        <v>28</v>
      </c>
      <c r="G42" t="s">
        <v>29</v>
      </c>
      <c r="H42" t="s">
        <v>30</v>
      </c>
      <c r="I42">
        <v>50</v>
      </c>
      <c r="J42">
        <v>20</v>
      </c>
      <c r="K42">
        <v>0.2</v>
      </c>
      <c r="M42">
        <v>0.2</v>
      </c>
      <c r="O42">
        <v>3500</v>
      </c>
      <c r="T42">
        <v>1.5</v>
      </c>
      <c r="W42" t="s">
        <v>100</v>
      </c>
      <c r="Y42" t="s">
        <v>63</v>
      </c>
    </row>
    <row r="43" spans="1:25">
      <c r="A43" t="s">
        <v>110</v>
      </c>
      <c r="B43" s="2" t="str">
        <f>Hyperlink("https://www.diodes.com/datasheet/download/BSS138WQ.pdf")</f>
        <v>https://www.diodes.com/datasheet/download/BSS138WQ.pdf</v>
      </c>
      <c r="C43" t="str">
        <f>Hyperlink("https://www.diodes.com/part/view/BSS138WQ","BSS138WQ")</f>
        <v>BSS138WQ</v>
      </c>
      <c r="D43" t="s">
        <v>105</v>
      </c>
      <c r="E43" t="s">
        <v>27</v>
      </c>
      <c r="F43" t="s">
        <v>37</v>
      </c>
      <c r="G43" t="s">
        <v>29</v>
      </c>
      <c r="H43" t="s">
        <v>30</v>
      </c>
      <c r="I43">
        <v>50</v>
      </c>
      <c r="J43">
        <v>20</v>
      </c>
      <c r="K43">
        <v>0.28</v>
      </c>
      <c r="M43">
        <v>0.5</v>
      </c>
      <c r="O43">
        <v>3500</v>
      </c>
      <c r="T43">
        <v>1.5</v>
      </c>
      <c r="V43">
        <v>1.5</v>
      </c>
      <c r="W43">
        <v>48</v>
      </c>
      <c r="X43">
        <v>25</v>
      </c>
      <c r="Y43" t="s">
        <v>92</v>
      </c>
    </row>
    <row r="44" spans="1:25">
      <c r="A44" t="s">
        <v>111</v>
      </c>
      <c r="B44" s="2" t="str">
        <f>Hyperlink("https://www.diodes.com/datasheet/download/BSS84.pdf")</f>
        <v>https://www.diodes.com/datasheet/download/BSS84.pdf</v>
      </c>
      <c r="C44" t="str">
        <f>Hyperlink("https://www.diodes.com/part/view/BSS84","BSS84")</f>
        <v>BSS84</v>
      </c>
      <c r="D44" t="s">
        <v>74</v>
      </c>
      <c r="E44" t="s">
        <v>27</v>
      </c>
      <c r="F44" t="s">
        <v>28</v>
      </c>
      <c r="G44" t="s">
        <v>75</v>
      </c>
      <c r="H44" t="s">
        <v>30</v>
      </c>
      <c r="I44">
        <v>50</v>
      </c>
      <c r="J44">
        <v>20</v>
      </c>
      <c r="K44">
        <v>0.13</v>
      </c>
      <c r="M44">
        <v>0.3</v>
      </c>
      <c r="P44">
        <v>10000</v>
      </c>
      <c r="T44">
        <v>2</v>
      </c>
      <c r="W44">
        <v>24.6</v>
      </c>
      <c r="Y44" t="s">
        <v>32</v>
      </c>
    </row>
    <row r="45" spans="1:25">
      <c r="A45" t="s">
        <v>112</v>
      </c>
      <c r="B45" s="2" t="str">
        <f>Hyperlink("https://www.diodes.com/datasheet/download/BSS8402DW.pdf")</f>
        <v>https://www.diodes.com/datasheet/download/BSS8402DW.pdf</v>
      </c>
      <c r="C45" t="str">
        <f>Hyperlink("https://www.diodes.com/part/view/BSS8402DW","BSS8402DW")</f>
        <v>BSS8402DW</v>
      </c>
      <c r="D45" t="s">
        <v>113</v>
      </c>
      <c r="E45" t="s">
        <v>27</v>
      </c>
      <c r="F45" t="s">
        <v>28</v>
      </c>
      <c r="G45" t="s">
        <v>114</v>
      </c>
      <c r="H45" t="s">
        <v>30</v>
      </c>
      <c r="I45" t="s">
        <v>115</v>
      </c>
      <c r="J45" t="s">
        <v>116</v>
      </c>
      <c r="K45" t="s">
        <v>117</v>
      </c>
      <c r="M45">
        <v>0.2</v>
      </c>
      <c r="P45" t="s">
        <v>118</v>
      </c>
      <c r="T45" t="s">
        <v>119</v>
      </c>
      <c r="W45" t="s">
        <v>120</v>
      </c>
      <c r="X45" t="s">
        <v>121</v>
      </c>
      <c r="Y45" t="s">
        <v>42</v>
      </c>
    </row>
    <row r="46" spans="1:25">
      <c r="A46" t="s">
        <v>122</v>
      </c>
      <c r="B46" s="2" t="str">
        <f>Hyperlink("https://www.diodes.com/datasheet/download/BSS84DW.pdf")</f>
        <v>https://www.diodes.com/datasheet/download/BSS84DW.pdf</v>
      </c>
      <c r="C46" t="str">
        <f>Hyperlink("https://www.diodes.com/part/view/BSS84DW","BSS84DW")</f>
        <v>BSS84DW</v>
      </c>
      <c r="D46" t="s">
        <v>123</v>
      </c>
      <c r="E46" t="s">
        <v>27</v>
      </c>
      <c r="F46" t="s">
        <v>28</v>
      </c>
      <c r="G46" t="s">
        <v>124</v>
      </c>
      <c r="H46" t="s">
        <v>30</v>
      </c>
      <c r="I46">
        <v>50</v>
      </c>
      <c r="J46">
        <v>20</v>
      </c>
      <c r="K46">
        <v>0.13</v>
      </c>
      <c r="M46">
        <v>0.3</v>
      </c>
      <c r="P46">
        <v>10000</v>
      </c>
      <c r="T46">
        <v>2</v>
      </c>
      <c r="W46" t="s">
        <v>125</v>
      </c>
      <c r="Y46" t="s">
        <v>103</v>
      </c>
    </row>
    <row r="47" spans="1:25">
      <c r="A47" t="s">
        <v>126</v>
      </c>
      <c r="B47" s="2" t="str">
        <f>Hyperlink("https://www.diodes.com/datasheet/download/BSS84DWQ.pdf")</f>
        <v>https://www.diodes.com/datasheet/download/BSS84DWQ.pdf</v>
      </c>
      <c r="C47" t="str">
        <f>Hyperlink("https://www.diodes.com/part/view/BSS84DWQ","BSS84DWQ")</f>
        <v>BSS84DWQ</v>
      </c>
      <c r="D47" t="s">
        <v>127</v>
      </c>
      <c r="E47" t="s">
        <v>27</v>
      </c>
      <c r="F47" t="s">
        <v>37</v>
      </c>
      <c r="G47" t="s">
        <v>124</v>
      </c>
      <c r="H47" t="s">
        <v>30</v>
      </c>
      <c r="I47">
        <v>50</v>
      </c>
      <c r="J47">
        <v>20</v>
      </c>
      <c r="K47">
        <v>0.13</v>
      </c>
      <c r="M47">
        <v>0.3</v>
      </c>
      <c r="P47" t="s">
        <v>128</v>
      </c>
      <c r="T47">
        <v>2</v>
      </c>
      <c r="X47">
        <v>25</v>
      </c>
      <c r="Y47" t="s">
        <v>42</v>
      </c>
    </row>
    <row r="48" spans="1:25">
      <c r="A48" t="s">
        <v>129</v>
      </c>
      <c r="B48" s="2" t="str">
        <f>Hyperlink("https://www.diodes.com/datasheet/download/BSS84Q.pdf")</f>
        <v>https://www.diodes.com/datasheet/download/BSS84Q.pdf</v>
      </c>
      <c r="C48" t="str">
        <f>Hyperlink("https://www.diodes.com/part/view/BSS84Q","BSS84Q")</f>
        <v>BSS84Q</v>
      </c>
      <c r="D48" t="s">
        <v>74</v>
      </c>
      <c r="E48" t="s">
        <v>27</v>
      </c>
      <c r="F48" t="s">
        <v>37</v>
      </c>
      <c r="G48" t="s">
        <v>75</v>
      </c>
      <c r="H48" t="s">
        <v>30</v>
      </c>
      <c r="I48">
        <v>50</v>
      </c>
      <c r="J48">
        <v>20</v>
      </c>
      <c r="K48">
        <v>0.13</v>
      </c>
      <c r="M48">
        <v>0.3</v>
      </c>
      <c r="P48" t="s">
        <v>128</v>
      </c>
      <c r="T48">
        <v>2</v>
      </c>
      <c r="W48">
        <v>24.6</v>
      </c>
      <c r="X48">
        <v>25</v>
      </c>
      <c r="Y48" t="s">
        <v>35</v>
      </c>
    </row>
    <row r="49" spans="1:25">
      <c r="A49" t="s">
        <v>130</v>
      </c>
      <c r="B49" s="2" t="str">
        <f>Hyperlink("https://www.diodes.com/datasheet/download/BSS84W.pdf")</f>
        <v>https://www.diodes.com/datasheet/download/BSS84W.pdf</v>
      </c>
      <c r="C49" t="str">
        <f>Hyperlink("https://www.diodes.com/part/view/BSS84W","BSS84W")</f>
        <v>BSS84W</v>
      </c>
      <c r="D49" t="s">
        <v>74</v>
      </c>
      <c r="E49" t="s">
        <v>27</v>
      </c>
      <c r="F49" t="s">
        <v>28</v>
      </c>
      <c r="G49" t="s">
        <v>75</v>
      </c>
      <c r="H49" t="s">
        <v>30</v>
      </c>
      <c r="I49">
        <v>50</v>
      </c>
      <c r="J49">
        <v>20</v>
      </c>
      <c r="K49">
        <v>0.13</v>
      </c>
      <c r="M49">
        <v>0.2</v>
      </c>
      <c r="P49">
        <v>10000</v>
      </c>
      <c r="T49">
        <v>2</v>
      </c>
      <c r="W49" t="s">
        <v>125</v>
      </c>
      <c r="Y49" t="s">
        <v>63</v>
      </c>
    </row>
    <row r="50" spans="1:25">
      <c r="A50" t="s">
        <v>131</v>
      </c>
      <c r="B50" s="2" t="str">
        <f>Hyperlink("https://www.diodes.com/datasheet/download/BSS84WQ.pdf")</f>
        <v>https://www.diodes.com/datasheet/download/BSS84WQ.pdf</v>
      </c>
      <c r="C50" t="str">
        <f>Hyperlink("https://www.diodes.com/part/view/BSS84WQ","BSS84WQ")</f>
        <v>BSS84WQ</v>
      </c>
      <c r="D50" t="s">
        <v>132</v>
      </c>
      <c r="E50" t="s">
        <v>27</v>
      </c>
      <c r="F50" t="s">
        <v>37</v>
      </c>
      <c r="G50" t="s">
        <v>75</v>
      </c>
      <c r="H50" t="s">
        <v>30</v>
      </c>
      <c r="I50">
        <v>50</v>
      </c>
      <c r="J50">
        <v>20</v>
      </c>
      <c r="K50">
        <v>0.164</v>
      </c>
      <c r="M50">
        <v>0.41</v>
      </c>
      <c r="P50">
        <v>10000</v>
      </c>
      <c r="T50">
        <v>2</v>
      </c>
      <c r="X50">
        <v>25</v>
      </c>
      <c r="Y50" t="s">
        <v>92</v>
      </c>
    </row>
    <row r="51" spans="1:25">
      <c r="A51" t="s">
        <v>133</v>
      </c>
      <c r="B51" s="2" t="str">
        <f>Hyperlink("https://www.diodes.com/datasheet/download/DMC1015UPD.pdf")</f>
        <v>https://www.diodes.com/datasheet/download/DMC1015UPD.pdf</v>
      </c>
      <c r="C51" t="str">
        <f>Hyperlink("https://www.diodes.com/part/view/DMC1015UPD","DMC1015UPD")</f>
        <v>DMC1015UPD</v>
      </c>
      <c r="D51" t="s">
        <v>113</v>
      </c>
      <c r="E51" t="s">
        <v>27</v>
      </c>
      <c r="F51" t="s">
        <v>28</v>
      </c>
      <c r="G51" t="s">
        <v>114</v>
      </c>
      <c r="H51" t="s">
        <v>30</v>
      </c>
      <c r="I51" t="s">
        <v>134</v>
      </c>
      <c r="J51" t="s">
        <v>135</v>
      </c>
      <c r="K51" t="s">
        <v>136</v>
      </c>
      <c r="M51">
        <v>2.3</v>
      </c>
      <c r="P51" t="s">
        <v>137</v>
      </c>
      <c r="Q51" t="s">
        <v>138</v>
      </c>
      <c r="S51" t="s">
        <v>139</v>
      </c>
      <c r="T51" t="s">
        <v>140</v>
      </c>
      <c r="U51" t="s">
        <v>141</v>
      </c>
      <c r="W51" t="s">
        <v>142</v>
      </c>
      <c r="X51" t="s">
        <v>143</v>
      </c>
      <c r="Y51" t="s">
        <v>144</v>
      </c>
    </row>
    <row r="52" spans="1:25">
      <c r="A52" t="s">
        <v>145</v>
      </c>
      <c r="B52" s="2" t="str">
        <f>Hyperlink("https://www.diodes.com/datasheet/download/DMC1016UPD.pdf")</f>
        <v>https://www.diodes.com/datasheet/download/DMC1016UPD.pdf</v>
      </c>
      <c r="C52" t="str">
        <f>Hyperlink("https://www.diodes.com/part/view/DMC1016UPD","DMC1016UPD")</f>
        <v>DMC1016UPD</v>
      </c>
      <c r="D52" t="s">
        <v>113</v>
      </c>
      <c r="E52" t="s">
        <v>27</v>
      </c>
      <c r="F52" t="s">
        <v>28</v>
      </c>
      <c r="G52" t="s">
        <v>114</v>
      </c>
      <c r="H52" t="s">
        <v>27</v>
      </c>
      <c r="I52" t="s">
        <v>134</v>
      </c>
      <c r="J52" t="s">
        <v>135</v>
      </c>
      <c r="K52" t="s">
        <v>146</v>
      </c>
      <c r="M52">
        <v>2.3</v>
      </c>
      <c r="P52" t="s">
        <v>147</v>
      </c>
      <c r="Q52" t="s">
        <v>148</v>
      </c>
      <c r="R52" t="s">
        <v>149</v>
      </c>
      <c r="S52" t="s">
        <v>150</v>
      </c>
      <c r="T52" t="s">
        <v>151</v>
      </c>
      <c r="U52" t="s">
        <v>152</v>
      </c>
      <c r="W52" t="s">
        <v>153</v>
      </c>
      <c r="X52" t="s">
        <v>154</v>
      </c>
      <c r="Y52" t="s">
        <v>144</v>
      </c>
    </row>
    <row r="53" spans="1:25">
      <c r="A53" t="s">
        <v>155</v>
      </c>
      <c r="B53" s="2" t="str">
        <f>Hyperlink("https://www.diodes.com/datasheet/download/DMC1018UPD.pdf")</f>
        <v>https://www.diodes.com/datasheet/download/DMC1018UPD.pdf</v>
      </c>
      <c r="C53" t="str">
        <f>Hyperlink("https://www.diodes.com/part/view/DMC1018UPD","DMC1018UPD")</f>
        <v>DMC1018UPD</v>
      </c>
      <c r="D53" t="s">
        <v>113</v>
      </c>
      <c r="E53" t="s">
        <v>27</v>
      </c>
      <c r="F53" t="s">
        <v>28</v>
      </c>
      <c r="G53" t="s">
        <v>114</v>
      </c>
      <c r="H53" t="s">
        <v>30</v>
      </c>
      <c r="I53" t="s">
        <v>134</v>
      </c>
      <c r="J53" t="s">
        <v>156</v>
      </c>
      <c r="K53" t="s">
        <v>157</v>
      </c>
      <c r="M53">
        <v>2.3</v>
      </c>
      <c r="P53" t="s">
        <v>158</v>
      </c>
      <c r="Q53" t="s">
        <v>159</v>
      </c>
      <c r="S53" t="s">
        <v>139</v>
      </c>
      <c r="T53" t="s">
        <v>140</v>
      </c>
      <c r="U53" t="s">
        <v>160</v>
      </c>
      <c r="V53" t="s">
        <v>161</v>
      </c>
      <c r="W53" t="s">
        <v>162</v>
      </c>
      <c r="X53" t="s">
        <v>163</v>
      </c>
      <c r="Y53" t="s">
        <v>144</v>
      </c>
    </row>
    <row r="54" spans="1:25">
      <c r="A54" t="s">
        <v>164</v>
      </c>
      <c r="B54" s="2" t="str">
        <f>Hyperlink("https://www.diodes.com/datasheet/download/DMC1018UPDWQ.pdf")</f>
        <v>https://www.diodes.com/datasheet/download/DMC1018UPDWQ.pdf</v>
      </c>
      <c r="C54" t="str">
        <f>Hyperlink("https://www.diodes.com/part/view/DMC1018UPDWQ","DMC1018UPDWQ")</f>
        <v>DMC1018UPDWQ</v>
      </c>
      <c r="D54" t="s">
        <v>113</v>
      </c>
      <c r="E54" t="s">
        <v>27</v>
      </c>
      <c r="F54" t="s">
        <v>37</v>
      </c>
      <c r="G54" t="s">
        <v>114</v>
      </c>
      <c r="H54" t="s">
        <v>30</v>
      </c>
      <c r="I54" t="s">
        <v>134</v>
      </c>
      <c r="J54" t="s">
        <v>156</v>
      </c>
      <c r="K54" t="s">
        <v>165</v>
      </c>
      <c r="L54" t="s">
        <v>166</v>
      </c>
      <c r="M54">
        <v>2.6</v>
      </c>
      <c r="N54">
        <v>25</v>
      </c>
      <c r="P54" t="s">
        <v>167</v>
      </c>
      <c r="Q54" t="s">
        <v>159</v>
      </c>
      <c r="S54" t="s">
        <v>139</v>
      </c>
      <c r="T54" t="s">
        <v>140</v>
      </c>
      <c r="U54" t="s">
        <v>160</v>
      </c>
      <c r="W54" t="s">
        <v>162</v>
      </c>
      <c r="X54" t="s">
        <v>163</v>
      </c>
      <c r="Y54" t="s">
        <v>168</v>
      </c>
    </row>
    <row r="55" spans="1:25">
      <c r="A55" t="s">
        <v>169</v>
      </c>
      <c r="B55" s="2" t="str">
        <f>Hyperlink("https://www.diodes.com/datasheet/download/DMC1028UFDB.pdf")</f>
        <v>https://www.diodes.com/datasheet/download/DMC1028UFDB.pdf</v>
      </c>
      <c r="C55" t="str">
        <f>Hyperlink("https://www.diodes.com/part/view/DMC1028UFDB","DMC1028UFDB")</f>
        <v>DMC1028UFDB</v>
      </c>
      <c r="D55" t="s">
        <v>113</v>
      </c>
      <c r="E55" t="s">
        <v>30</v>
      </c>
      <c r="F55" t="s">
        <v>28</v>
      </c>
      <c r="G55" t="s">
        <v>114</v>
      </c>
      <c r="H55" t="s">
        <v>27</v>
      </c>
      <c r="I55" t="s">
        <v>134</v>
      </c>
      <c r="J55" t="s">
        <v>135</v>
      </c>
      <c r="K55" t="s">
        <v>170</v>
      </c>
      <c r="M55">
        <v>1.36</v>
      </c>
      <c r="P55" t="s">
        <v>171</v>
      </c>
      <c r="Q55" t="s">
        <v>172</v>
      </c>
      <c r="R55" t="s">
        <v>173</v>
      </c>
      <c r="S55" t="s">
        <v>174</v>
      </c>
      <c r="T55" t="s">
        <v>175</v>
      </c>
      <c r="U55" t="s">
        <v>176</v>
      </c>
      <c r="V55" t="s">
        <v>177</v>
      </c>
      <c r="W55" t="s">
        <v>178</v>
      </c>
      <c r="X55" t="s">
        <v>163</v>
      </c>
      <c r="Y55" t="s">
        <v>179</v>
      </c>
    </row>
    <row r="56" spans="1:25">
      <c r="A56" t="s">
        <v>180</v>
      </c>
      <c r="B56" s="2" t="str">
        <f>Hyperlink("https://www.diodes.com/datasheet/download/DMC1028UVT.pdf")</f>
        <v>https://www.diodes.com/datasheet/download/DMC1028UVT.pdf</v>
      </c>
      <c r="C56" t="str">
        <f>Hyperlink("https://www.diodes.com/part/view/DMC1028UVT","DMC1028UVT")</f>
        <v>DMC1028UVT</v>
      </c>
      <c r="D56" t="s">
        <v>113</v>
      </c>
      <c r="E56" t="s">
        <v>30</v>
      </c>
      <c r="F56" t="s">
        <v>28</v>
      </c>
      <c r="G56" t="s">
        <v>114</v>
      </c>
      <c r="H56" t="s">
        <v>27</v>
      </c>
      <c r="I56" t="s">
        <v>134</v>
      </c>
      <c r="J56" t="s">
        <v>135</v>
      </c>
      <c r="K56" t="s">
        <v>181</v>
      </c>
      <c r="M56">
        <v>1.2</v>
      </c>
      <c r="P56" t="s">
        <v>171</v>
      </c>
      <c r="Q56" t="s">
        <v>172</v>
      </c>
      <c r="R56" t="s">
        <v>173</v>
      </c>
      <c r="S56" t="s">
        <v>182</v>
      </c>
      <c r="T56" t="s">
        <v>175</v>
      </c>
      <c r="U56" t="s">
        <v>176</v>
      </c>
      <c r="V56" t="s">
        <v>177</v>
      </c>
      <c r="W56" t="s">
        <v>178</v>
      </c>
      <c r="X56" t="s">
        <v>163</v>
      </c>
      <c r="Y56" t="s">
        <v>183</v>
      </c>
    </row>
    <row r="57" spans="1:25">
      <c r="A57" t="s">
        <v>184</v>
      </c>
      <c r="B57" s="2" t="str">
        <f>Hyperlink("https://www.diodes.com/datasheet/download/DMC1029UFDB.pdf")</f>
        <v>https://www.diodes.com/datasheet/download/DMC1029UFDB.pdf</v>
      </c>
      <c r="C57" t="str">
        <f>Hyperlink("https://www.diodes.com/part/view/DMC1029UFDB","DMC1029UFDB")</f>
        <v>DMC1029UFDB</v>
      </c>
      <c r="D57" t="s">
        <v>113</v>
      </c>
      <c r="E57" t="s">
        <v>30</v>
      </c>
      <c r="F57" t="s">
        <v>28</v>
      </c>
      <c r="G57" t="s">
        <v>114</v>
      </c>
      <c r="H57" t="s">
        <v>30</v>
      </c>
      <c r="I57" t="s">
        <v>185</v>
      </c>
      <c r="J57" t="s">
        <v>135</v>
      </c>
      <c r="K57" t="s">
        <v>186</v>
      </c>
      <c r="M57">
        <v>1.4</v>
      </c>
      <c r="P57" t="s">
        <v>187</v>
      </c>
      <c r="Q57" t="s">
        <v>188</v>
      </c>
      <c r="R57" t="s">
        <v>189</v>
      </c>
      <c r="S57" t="s">
        <v>174</v>
      </c>
      <c r="T57" t="s">
        <v>175</v>
      </c>
      <c r="U57" t="s">
        <v>190</v>
      </c>
      <c r="V57" t="s">
        <v>191</v>
      </c>
      <c r="W57" t="s">
        <v>192</v>
      </c>
      <c r="X57" t="s">
        <v>163</v>
      </c>
      <c r="Y57" t="s">
        <v>179</v>
      </c>
    </row>
    <row r="58" spans="1:25">
      <c r="A58" t="s">
        <v>193</v>
      </c>
      <c r="B58" s="2" t="str">
        <f>Hyperlink("https://www.diodes.com/datasheet/download/DMC1030UFDB.pdf")</f>
        <v>https://www.diodes.com/datasheet/download/DMC1030UFDB.pdf</v>
      </c>
      <c r="C58" t="str">
        <f>Hyperlink("https://www.diodes.com/part/view/DMC1030UFDB","DMC1030UFDB")</f>
        <v>DMC1030UFDB</v>
      </c>
      <c r="D58" t="s">
        <v>113</v>
      </c>
      <c r="E58" t="s">
        <v>27</v>
      </c>
      <c r="F58" t="s">
        <v>28</v>
      </c>
      <c r="G58" t="s">
        <v>114</v>
      </c>
      <c r="H58" t="s">
        <v>27</v>
      </c>
      <c r="I58" t="s">
        <v>185</v>
      </c>
      <c r="J58" t="s">
        <v>135</v>
      </c>
      <c r="K58" t="s">
        <v>194</v>
      </c>
      <c r="M58">
        <v>1.36</v>
      </c>
      <c r="P58" t="s">
        <v>195</v>
      </c>
      <c r="Q58" t="s">
        <v>196</v>
      </c>
      <c r="R58" t="s">
        <v>197</v>
      </c>
      <c r="S58" t="s">
        <v>174</v>
      </c>
      <c r="T58" t="s">
        <v>175</v>
      </c>
      <c r="U58" t="s">
        <v>198</v>
      </c>
      <c r="V58" t="s">
        <v>199</v>
      </c>
      <c r="W58" t="s">
        <v>200</v>
      </c>
      <c r="X58" t="s">
        <v>163</v>
      </c>
      <c r="Y58" t="s">
        <v>179</v>
      </c>
    </row>
    <row r="59" spans="1:25">
      <c r="A59" t="s">
        <v>201</v>
      </c>
      <c r="B59" s="2" t="str">
        <f>Hyperlink("https://www.diodes.com/datasheet/download/DMC10H172SSD.pdf")</f>
        <v>https://www.diodes.com/datasheet/download/DMC10H172SSD.pdf</v>
      </c>
      <c r="C59" t="str">
        <f>Hyperlink("https://www.diodes.com/part/view/DMC10H172SSD","DMC10H172SSD")</f>
        <v>DMC10H172SSD</v>
      </c>
      <c r="D59" t="s">
        <v>113</v>
      </c>
      <c r="E59" t="s">
        <v>30</v>
      </c>
      <c r="F59" t="s">
        <v>28</v>
      </c>
      <c r="G59" t="s">
        <v>114</v>
      </c>
      <c r="H59" t="s">
        <v>30</v>
      </c>
      <c r="I59" t="s">
        <v>202</v>
      </c>
      <c r="J59" t="s">
        <v>203</v>
      </c>
      <c r="K59" t="s">
        <v>204</v>
      </c>
      <c r="M59">
        <v>1.5</v>
      </c>
      <c r="O59" t="s">
        <v>205</v>
      </c>
      <c r="P59" t="s">
        <v>206</v>
      </c>
      <c r="S59" t="s">
        <v>207</v>
      </c>
      <c r="T59" t="s">
        <v>208</v>
      </c>
      <c r="U59" t="s">
        <v>209</v>
      </c>
      <c r="V59" t="s">
        <v>210</v>
      </c>
      <c r="W59" t="s">
        <v>211</v>
      </c>
      <c r="X59" t="s">
        <v>212</v>
      </c>
      <c r="Y59" t="s">
        <v>213</v>
      </c>
    </row>
    <row r="60" spans="1:25">
      <c r="A60" t="s">
        <v>214</v>
      </c>
      <c r="B60" s="2" t="str">
        <f>Hyperlink("https://www.diodes.com/datasheet/download/DMC10H220LSD.pdf")</f>
        <v>https://www.diodes.com/datasheet/download/DMC10H220LSD.pdf</v>
      </c>
      <c r="C60" t="str">
        <f>Hyperlink("https://www.diodes.com/part/view/DMC10H220LSD","DMC10H220LSD")</f>
        <v>DMC10H220LSD</v>
      </c>
      <c r="D60" t="s">
        <v>113</v>
      </c>
      <c r="E60" t="s">
        <v>30</v>
      </c>
      <c r="F60" t="s">
        <v>28</v>
      </c>
      <c r="G60" t="s">
        <v>114</v>
      </c>
      <c r="H60" t="s">
        <v>30</v>
      </c>
      <c r="I60" t="s">
        <v>215</v>
      </c>
      <c r="J60" t="s">
        <v>116</v>
      </c>
      <c r="K60" t="s">
        <v>216</v>
      </c>
      <c r="M60" t="s">
        <v>175</v>
      </c>
      <c r="O60" t="s">
        <v>217</v>
      </c>
      <c r="P60" t="s">
        <v>218</v>
      </c>
      <c r="S60" t="s">
        <v>207</v>
      </c>
      <c r="T60" t="s">
        <v>219</v>
      </c>
      <c r="U60" t="s">
        <v>220</v>
      </c>
      <c r="V60" t="s">
        <v>221</v>
      </c>
      <c r="W60" t="s">
        <v>222</v>
      </c>
      <c r="X60" t="s">
        <v>223</v>
      </c>
      <c r="Y60" t="s">
        <v>213</v>
      </c>
    </row>
    <row r="61" spans="1:25">
      <c r="A61" t="s">
        <v>224</v>
      </c>
      <c r="B61" s="2" t="str">
        <f>Hyperlink("https://www.diodes.com/datasheet/download/DMC1229UFDB.pdf")</f>
        <v>https://www.diodes.com/datasheet/download/DMC1229UFDB.pdf</v>
      </c>
      <c r="C61" t="str">
        <f>Hyperlink("https://www.diodes.com/part/view/DMC1229UFDB","DMC1229UFDB")</f>
        <v>DMC1229UFDB</v>
      </c>
      <c r="D61" t="s">
        <v>113</v>
      </c>
      <c r="E61" t="s">
        <v>27</v>
      </c>
      <c r="F61" t="s">
        <v>28</v>
      </c>
      <c r="G61" t="s">
        <v>114</v>
      </c>
      <c r="H61" t="s">
        <v>30</v>
      </c>
      <c r="I61" t="s">
        <v>185</v>
      </c>
      <c r="J61" t="s">
        <v>135</v>
      </c>
      <c r="K61" t="s">
        <v>186</v>
      </c>
      <c r="M61">
        <v>1.4</v>
      </c>
      <c r="P61" t="s">
        <v>187</v>
      </c>
      <c r="Q61" t="s">
        <v>188</v>
      </c>
      <c r="R61" t="s">
        <v>189</v>
      </c>
      <c r="S61" t="s">
        <v>174</v>
      </c>
      <c r="T61" t="s">
        <v>175</v>
      </c>
      <c r="U61" t="s">
        <v>190</v>
      </c>
      <c r="V61" t="s">
        <v>191</v>
      </c>
      <c r="W61" t="s">
        <v>192</v>
      </c>
      <c r="X61" t="s">
        <v>225</v>
      </c>
      <c r="Y61" t="s">
        <v>179</v>
      </c>
    </row>
    <row r="62" spans="1:25">
      <c r="A62" t="s">
        <v>226</v>
      </c>
      <c r="B62" s="2" t="str">
        <f>Hyperlink("https://www.diodes.com/datasheet/download/DMC2004DWK.pdf")</f>
        <v>https://www.diodes.com/datasheet/download/DMC2004DWK.pdf</v>
      </c>
      <c r="C62" t="str">
        <f>Hyperlink("https://www.diodes.com/part/view/DMC2004DWK","DMC2004DWK")</f>
        <v>DMC2004DWK</v>
      </c>
      <c r="D62" t="s">
        <v>113</v>
      </c>
      <c r="E62" t="s">
        <v>27</v>
      </c>
      <c r="F62" t="s">
        <v>28</v>
      </c>
      <c r="G62" t="s">
        <v>114</v>
      </c>
      <c r="H62" t="s">
        <v>27</v>
      </c>
      <c r="I62" t="s">
        <v>116</v>
      </c>
      <c r="J62" t="s">
        <v>135</v>
      </c>
      <c r="K62" t="s">
        <v>227</v>
      </c>
      <c r="M62">
        <v>0.25</v>
      </c>
      <c r="P62" t="s">
        <v>228</v>
      </c>
      <c r="Q62" t="s">
        <v>229</v>
      </c>
      <c r="R62" t="s">
        <v>230</v>
      </c>
      <c r="S62" t="s">
        <v>231</v>
      </c>
      <c r="T62" t="s">
        <v>175</v>
      </c>
      <c r="W62" t="s">
        <v>232</v>
      </c>
      <c r="X62" t="s">
        <v>233</v>
      </c>
      <c r="Y62" t="s">
        <v>42</v>
      </c>
    </row>
    <row r="63" spans="1:25">
      <c r="A63" t="s">
        <v>234</v>
      </c>
      <c r="B63" s="2" t="str">
        <f>Hyperlink("https://www.diodes.com/datasheet/download/DMC2004LPK.pdf")</f>
        <v>https://www.diodes.com/datasheet/download/DMC2004LPK.pdf</v>
      </c>
      <c r="C63" t="str">
        <f>Hyperlink("https://www.diodes.com/part/view/DMC2004LPK","DMC2004LPK")</f>
        <v>DMC2004LPK</v>
      </c>
      <c r="D63" t="s">
        <v>113</v>
      </c>
      <c r="E63" t="s">
        <v>27</v>
      </c>
      <c r="F63" t="s">
        <v>28</v>
      </c>
      <c r="G63" t="s">
        <v>114</v>
      </c>
      <c r="H63" t="s">
        <v>27</v>
      </c>
      <c r="I63" t="s">
        <v>116</v>
      </c>
      <c r="J63" t="s">
        <v>135</v>
      </c>
      <c r="K63" t="s">
        <v>235</v>
      </c>
      <c r="M63">
        <v>0.5</v>
      </c>
      <c r="P63" t="s">
        <v>228</v>
      </c>
      <c r="Q63" t="s">
        <v>229</v>
      </c>
      <c r="R63" t="s">
        <v>230</v>
      </c>
      <c r="S63" t="s">
        <v>231</v>
      </c>
      <c r="T63" t="s">
        <v>175</v>
      </c>
      <c r="W63" t="s">
        <v>232</v>
      </c>
      <c r="X63" t="s">
        <v>233</v>
      </c>
      <c r="Y63" t="s">
        <v>236</v>
      </c>
    </row>
    <row r="64" spans="1:25">
      <c r="A64" t="s">
        <v>237</v>
      </c>
      <c r="B64" s="2" t="str">
        <f>Hyperlink("https://www.diodes.com/datasheet/download/DMC2020USD.pdf")</f>
        <v>https://www.diodes.com/datasheet/download/DMC2020USD.pdf</v>
      </c>
      <c r="C64" t="str">
        <f>Hyperlink("https://www.diodes.com/part/view/DMC2020USD","DMC2020USD")</f>
        <v>DMC2020USD</v>
      </c>
      <c r="D64" t="s">
        <v>113</v>
      </c>
      <c r="E64" t="s">
        <v>27</v>
      </c>
      <c r="F64" t="s">
        <v>28</v>
      </c>
      <c r="G64" t="s">
        <v>114</v>
      </c>
      <c r="H64" t="s">
        <v>27</v>
      </c>
      <c r="I64" t="s">
        <v>116</v>
      </c>
      <c r="J64" t="s">
        <v>238</v>
      </c>
      <c r="K64" t="s">
        <v>239</v>
      </c>
      <c r="M64">
        <v>1.8</v>
      </c>
      <c r="P64" t="s">
        <v>240</v>
      </c>
      <c r="Q64" t="s">
        <v>241</v>
      </c>
      <c r="S64" t="s">
        <v>242</v>
      </c>
      <c r="T64" t="s">
        <v>151</v>
      </c>
      <c r="U64" t="s">
        <v>243</v>
      </c>
      <c r="W64" t="s">
        <v>244</v>
      </c>
      <c r="X64" t="s">
        <v>238</v>
      </c>
      <c r="Y64" t="s">
        <v>213</v>
      </c>
    </row>
    <row r="65" spans="1:25">
      <c r="A65" t="s">
        <v>245</v>
      </c>
      <c r="B65" s="2" t="str">
        <f>Hyperlink("https://www.diodes.com/datasheet/download/DMC2025UFDB.pdf")</f>
        <v>https://www.diodes.com/datasheet/download/DMC2025UFDB.pdf</v>
      </c>
      <c r="C65" t="str">
        <f>Hyperlink("https://www.diodes.com/part/view/DMC2025UFDB","DMC2025UFDB")</f>
        <v>DMC2025UFDB</v>
      </c>
      <c r="D65" t="s">
        <v>113</v>
      </c>
      <c r="E65" t="s">
        <v>30</v>
      </c>
      <c r="F65" t="s">
        <v>28</v>
      </c>
      <c r="G65" t="s">
        <v>114</v>
      </c>
      <c r="H65" t="s">
        <v>27</v>
      </c>
      <c r="I65" t="s">
        <v>116</v>
      </c>
      <c r="J65" t="s">
        <v>246</v>
      </c>
      <c r="K65" t="s">
        <v>247</v>
      </c>
      <c r="M65">
        <v>1.4</v>
      </c>
      <c r="P65" t="s">
        <v>248</v>
      </c>
      <c r="Q65" t="s">
        <v>249</v>
      </c>
      <c r="S65" t="s">
        <v>231</v>
      </c>
      <c r="T65" t="s">
        <v>250</v>
      </c>
      <c r="U65" t="s">
        <v>251</v>
      </c>
      <c r="V65" t="s">
        <v>252</v>
      </c>
      <c r="W65" t="s">
        <v>253</v>
      </c>
      <c r="X65" t="s">
        <v>238</v>
      </c>
      <c r="Y65" t="s">
        <v>179</v>
      </c>
    </row>
    <row r="66" spans="1:25">
      <c r="A66" t="s">
        <v>254</v>
      </c>
      <c r="B66" s="2" t="str">
        <f>Hyperlink("https://www.diodes.com/datasheet/download/DMC2025UFDBQ+.pdf")</f>
        <v>https://www.diodes.com/datasheet/download/DMC2025UFDBQ+.pdf</v>
      </c>
      <c r="C66" t="str">
        <f>Hyperlink("https://www.diodes.com/part/view/DMC2025UFDBQ","DMC2025UFDBQ")</f>
        <v>DMC2025UFDBQ</v>
      </c>
      <c r="D66" t="s">
        <v>113</v>
      </c>
      <c r="E66" t="s">
        <v>27</v>
      </c>
      <c r="F66" t="s">
        <v>37</v>
      </c>
      <c r="G66" t="s">
        <v>114</v>
      </c>
      <c r="H66" t="s">
        <v>27</v>
      </c>
      <c r="I66" t="s">
        <v>116</v>
      </c>
      <c r="J66" t="s">
        <v>246</v>
      </c>
      <c r="K66" t="s">
        <v>247</v>
      </c>
      <c r="M66">
        <v>1.4</v>
      </c>
      <c r="P66" t="s">
        <v>248</v>
      </c>
      <c r="Q66" t="s">
        <v>249</v>
      </c>
      <c r="S66" t="s">
        <v>255</v>
      </c>
      <c r="T66" t="s">
        <v>250</v>
      </c>
      <c r="U66" t="s">
        <v>251</v>
      </c>
      <c r="V66" t="s">
        <v>256</v>
      </c>
      <c r="W66" t="s">
        <v>253</v>
      </c>
      <c r="X66" t="s">
        <v>238</v>
      </c>
      <c r="Y66" t="s">
        <v>179</v>
      </c>
    </row>
    <row r="67" spans="1:25">
      <c r="A67" t="s">
        <v>257</v>
      </c>
      <c r="B67" s="2" t="str">
        <f>Hyperlink("https://www.diodes.com/datasheet/download/DMC2041UFDB.pdf")</f>
        <v>https://www.diodes.com/datasheet/download/DMC2041UFDB.pdf</v>
      </c>
      <c r="C67" t="str">
        <f>Hyperlink("https://www.diodes.com/part/view/DMC2041UFDB","DMC2041UFDB")</f>
        <v>DMC2041UFDB</v>
      </c>
      <c r="D67" t="s">
        <v>113</v>
      </c>
      <c r="E67" t="s">
        <v>30</v>
      </c>
      <c r="F67" t="s">
        <v>28</v>
      </c>
      <c r="G67" t="s">
        <v>114</v>
      </c>
      <c r="H67" t="s">
        <v>27</v>
      </c>
      <c r="I67" t="s">
        <v>116</v>
      </c>
      <c r="J67" t="s">
        <v>185</v>
      </c>
      <c r="K67" t="s">
        <v>258</v>
      </c>
      <c r="M67">
        <v>1.4</v>
      </c>
      <c r="P67" t="s">
        <v>259</v>
      </c>
      <c r="Q67" t="s">
        <v>260</v>
      </c>
      <c r="S67" t="s">
        <v>261</v>
      </c>
      <c r="T67" t="s">
        <v>262</v>
      </c>
      <c r="U67" t="s">
        <v>263</v>
      </c>
      <c r="V67" t="s">
        <v>264</v>
      </c>
      <c r="W67" t="s">
        <v>265</v>
      </c>
      <c r="X67" t="s">
        <v>238</v>
      </c>
      <c r="Y67" t="s">
        <v>179</v>
      </c>
    </row>
    <row r="68" spans="1:25">
      <c r="A68" t="s">
        <v>266</v>
      </c>
      <c r="B68" s="2" t="str">
        <f>Hyperlink("https://www.diodes.com/datasheet/download/DMC2053UFDB.pdf")</f>
        <v>https://www.diodes.com/datasheet/download/DMC2053UFDB.pdf</v>
      </c>
      <c r="C68" t="str">
        <f>Hyperlink("https://www.diodes.com/part/view/DMC2053UFDB","DMC2053UFDB")</f>
        <v>DMC2053UFDB</v>
      </c>
      <c r="D68" t="s">
        <v>113</v>
      </c>
      <c r="E68" t="s">
        <v>30</v>
      </c>
      <c r="F68" t="s">
        <v>28</v>
      </c>
      <c r="G68" t="s">
        <v>114</v>
      </c>
      <c r="H68" t="s">
        <v>30</v>
      </c>
      <c r="I68" t="s">
        <v>116</v>
      </c>
      <c r="J68" t="s">
        <v>185</v>
      </c>
      <c r="K68" t="s">
        <v>267</v>
      </c>
      <c r="M68">
        <v>1.1</v>
      </c>
      <c r="P68" t="s">
        <v>268</v>
      </c>
      <c r="Q68" t="s">
        <v>269</v>
      </c>
      <c r="R68" t="s">
        <v>270</v>
      </c>
      <c r="S68" t="s">
        <v>271</v>
      </c>
      <c r="T68" t="s">
        <v>175</v>
      </c>
      <c r="U68" t="s">
        <v>272</v>
      </c>
      <c r="W68" t="s">
        <v>273</v>
      </c>
      <c r="X68" t="s">
        <v>238</v>
      </c>
      <c r="Y68" t="s">
        <v>179</v>
      </c>
    </row>
    <row r="69" spans="1:25">
      <c r="A69" t="s">
        <v>274</v>
      </c>
      <c r="B69" s="2" t="str">
        <f>Hyperlink("https://www.diodes.com/datasheet/download/DMC2053UFDBQ.pdf")</f>
        <v>https://www.diodes.com/datasheet/download/DMC2053UFDBQ.pdf</v>
      </c>
      <c r="C69" t="str">
        <f>Hyperlink("https://www.diodes.com/part/view/DMC2053UFDBQ","DMC2053UFDBQ")</f>
        <v>DMC2053UFDBQ</v>
      </c>
      <c r="D69" t="s">
        <v>113</v>
      </c>
      <c r="E69" t="s">
        <v>27</v>
      </c>
      <c r="F69" t="s">
        <v>37</v>
      </c>
      <c r="G69" t="s">
        <v>114</v>
      </c>
      <c r="H69" t="s">
        <v>30</v>
      </c>
      <c r="I69" t="s">
        <v>116</v>
      </c>
      <c r="J69" t="s">
        <v>185</v>
      </c>
      <c r="K69" t="s">
        <v>267</v>
      </c>
      <c r="M69">
        <v>1.1</v>
      </c>
      <c r="P69" t="s">
        <v>268</v>
      </c>
      <c r="Q69" t="s">
        <v>269</v>
      </c>
      <c r="R69" t="s">
        <v>270</v>
      </c>
      <c r="S69" t="s">
        <v>271</v>
      </c>
      <c r="T69" t="s">
        <v>175</v>
      </c>
      <c r="U69" t="s">
        <v>275</v>
      </c>
      <c r="W69" t="s">
        <v>273</v>
      </c>
      <c r="X69" t="s">
        <v>238</v>
      </c>
      <c r="Y69" t="s">
        <v>179</v>
      </c>
    </row>
    <row r="70" spans="1:25">
      <c r="A70" t="s">
        <v>276</v>
      </c>
      <c r="B70" s="2" t="str">
        <f>Hyperlink("https://www.diodes.com/datasheet/download/DMC2053UVT.pdf")</f>
        <v>https://www.diodes.com/datasheet/download/DMC2053UVT.pdf</v>
      </c>
      <c r="C70" t="str">
        <f>Hyperlink("https://www.diodes.com/part/view/DMC2053UVT","DMC2053UVT")</f>
        <v>DMC2053UVT</v>
      </c>
      <c r="D70" t="s">
        <v>113</v>
      </c>
      <c r="E70" t="s">
        <v>30</v>
      </c>
      <c r="F70" t="s">
        <v>28</v>
      </c>
      <c r="G70" t="s">
        <v>114</v>
      </c>
      <c r="H70" t="s">
        <v>30</v>
      </c>
      <c r="I70" t="s">
        <v>116</v>
      </c>
      <c r="J70" t="s">
        <v>185</v>
      </c>
      <c r="K70" t="s">
        <v>277</v>
      </c>
      <c r="M70">
        <v>1.1</v>
      </c>
      <c r="P70" t="s">
        <v>278</v>
      </c>
      <c r="Q70" t="s">
        <v>269</v>
      </c>
      <c r="R70" t="s">
        <v>270</v>
      </c>
      <c r="S70" t="s">
        <v>182</v>
      </c>
      <c r="T70" t="s">
        <v>175</v>
      </c>
      <c r="U70" t="s">
        <v>275</v>
      </c>
      <c r="W70" t="s">
        <v>273</v>
      </c>
      <c r="X70" t="s">
        <v>238</v>
      </c>
      <c r="Y70" t="s">
        <v>183</v>
      </c>
    </row>
    <row r="71" spans="1:25">
      <c r="A71" t="s">
        <v>279</v>
      </c>
      <c r="B71" s="2" t="str">
        <f>Hyperlink("https://www.diodes.com/datasheet/download/DMC2053UVTQ.pdf")</f>
        <v>https://www.diodes.com/datasheet/download/DMC2053UVTQ.pdf</v>
      </c>
      <c r="C71" t="str">
        <f>Hyperlink("https://www.diodes.com/part/view/DMC2053UVTQ","DMC2053UVTQ")</f>
        <v>DMC2053UVTQ</v>
      </c>
      <c r="D71" t="s">
        <v>113</v>
      </c>
      <c r="E71" t="s">
        <v>27</v>
      </c>
      <c r="F71" t="s">
        <v>37</v>
      </c>
      <c r="G71" t="s">
        <v>114</v>
      </c>
      <c r="H71" t="s">
        <v>30</v>
      </c>
      <c r="I71" t="s">
        <v>116</v>
      </c>
      <c r="J71" t="s">
        <v>185</v>
      </c>
      <c r="K71" t="s">
        <v>277</v>
      </c>
      <c r="M71">
        <v>1.1</v>
      </c>
      <c r="P71" t="s">
        <v>280</v>
      </c>
      <c r="Q71" t="s">
        <v>269</v>
      </c>
      <c r="R71" t="s">
        <v>270</v>
      </c>
      <c r="S71" t="s">
        <v>182</v>
      </c>
      <c r="T71" t="s">
        <v>175</v>
      </c>
      <c r="U71" t="s">
        <v>275</v>
      </c>
      <c r="W71" t="s">
        <v>273</v>
      </c>
      <c r="X71" t="s">
        <v>238</v>
      </c>
      <c r="Y71" t="s">
        <v>183</v>
      </c>
    </row>
    <row r="72" spans="1:25">
      <c r="A72" t="s">
        <v>281</v>
      </c>
      <c r="B72" s="2" t="str">
        <f>Hyperlink("https://www.diodes.com/datasheet/download/DMC2057UVT.pdf")</f>
        <v>https://www.diodes.com/datasheet/download/DMC2057UVT.pdf</v>
      </c>
      <c r="C72" t="str">
        <f>Hyperlink("https://www.diodes.com/part/view/DMC2057UVT","DMC2057UVT")</f>
        <v>DMC2057UVT</v>
      </c>
      <c r="D72" t="s">
        <v>113</v>
      </c>
      <c r="E72" t="s">
        <v>30</v>
      </c>
      <c r="F72" t="s">
        <v>28</v>
      </c>
      <c r="G72" t="s">
        <v>114</v>
      </c>
      <c r="H72" t="s">
        <v>30</v>
      </c>
      <c r="I72" t="s">
        <v>116</v>
      </c>
      <c r="J72" t="s">
        <v>282</v>
      </c>
      <c r="K72" t="s">
        <v>283</v>
      </c>
      <c r="M72">
        <v>1.1</v>
      </c>
      <c r="P72" t="s">
        <v>284</v>
      </c>
      <c r="Q72" t="s">
        <v>285</v>
      </c>
      <c r="R72" t="s">
        <v>286</v>
      </c>
      <c r="S72" t="s">
        <v>174</v>
      </c>
      <c r="T72" t="s">
        <v>287</v>
      </c>
      <c r="U72" t="s">
        <v>288</v>
      </c>
      <c r="V72" t="s">
        <v>289</v>
      </c>
      <c r="W72" t="s">
        <v>290</v>
      </c>
      <c r="X72" t="s">
        <v>238</v>
      </c>
      <c r="Y72" t="s">
        <v>183</v>
      </c>
    </row>
    <row r="73" spans="1:25">
      <c r="A73" t="s">
        <v>291</v>
      </c>
      <c r="B73" s="2" t="str">
        <f>Hyperlink("https://www.diodes.com/datasheet/download/DMC21D1UDA.pdf")</f>
        <v>https://www.diodes.com/datasheet/download/DMC21D1UDA.pdf</v>
      </c>
      <c r="C73" t="str">
        <f>Hyperlink("https://www.diodes.com/part/view/DMC21D1UDA","DMC21D1UDA")</f>
        <v>DMC21D1UDA</v>
      </c>
      <c r="D73" t="s">
        <v>113</v>
      </c>
      <c r="E73" t="s">
        <v>30</v>
      </c>
      <c r="F73" t="s">
        <v>28</v>
      </c>
      <c r="G73" t="s">
        <v>114</v>
      </c>
      <c r="H73" t="s">
        <v>27</v>
      </c>
      <c r="I73" t="s">
        <v>116</v>
      </c>
      <c r="J73" t="s">
        <v>135</v>
      </c>
      <c r="K73" t="s">
        <v>292</v>
      </c>
      <c r="M73">
        <v>0.3</v>
      </c>
      <c r="P73" t="s">
        <v>293</v>
      </c>
      <c r="Q73" t="s">
        <v>294</v>
      </c>
      <c r="R73" t="s">
        <v>295</v>
      </c>
      <c r="S73" t="s">
        <v>295</v>
      </c>
      <c r="T73" t="s">
        <v>175</v>
      </c>
      <c r="U73" t="s">
        <v>296</v>
      </c>
      <c r="W73" t="s">
        <v>297</v>
      </c>
      <c r="X73" t="s">
        <v>238</v>
      </c>
      <c r="Y73" t="s">
        <v>298</v>
      </c>
    </row>
    <row r="74" spans="1:25">
      <c r="A74" t="s">
        <v>299</v>
      </c>
      <c r="B74" s="2" t="str">
        <f>Hyperlink("https://www.diodes.com/datasheet/download/DMC2400UV.pdf")</f>
        <v>https://www.diodes.com/datasheet/download/DMC2400UV.pdf</v>
      </c>
      <c r="C74" t="str">
        <f>Hyperlink("https://www.diodes.com/part/view/DMC2400UV","DMC2400UV")</f>
        <v>DMC2400UV</v>
      </c>
      <c r="D74" t="s">
        <v>113</v>
      </c>
      <c r="E74" t="s">
        <v>27</v>
      </c>
      <c r="F74" t="s">
        <v>28</v>
      </c>
      <c r="G74" t="s">
        <v>114</v>
      </c>
      <c r="H74" t="s">
        <v>27</v>
      </c>
      <c r="I74" t="s">
        <v>116</v>
      </c>
      <c r="J74" t="s">
        <v>282</v>
      </c>
      <c r="K74" t="s">
        <v>300</v>
      </c>
      <c r="M74">
        <v>1</v>
      </c>
      <c r="P74" t="s">
        <v>301</v>
      </c>
      <c r="Q74" t="s">
        <v>302</v>
      </c>
      <c r="R74" t="s">
        <v>230</v>
      </c>
      <c r="S74" t="s">
        <v>231</v>
      </c>
      <c r="T74" t="s">
        <v>303</v>
      </c>
      <c r="U74" t="s">
        <v>231</v>
      </c>
      <c r="W74" t="s">
        <v>304</v>
      </c>
      <c r="X74" t="s">
        <v>238</v>
      </c>
      <c r="Y74" t="s">
        <v>60</v>
      </c>
    </row>
    <row r="75" spans="1:25">
      <c r="A75" t="s">
        <v>305</v>
      </c>
      <c r="B75" s="2" t="str">
        <f>Hyperlink("https://www.diodes.com/datasheet/download/DMC2400UVQ.pdf")</f>
        <v>https://www.diodes.com/datasheet/download/DMC2400UVQ.pdf</v>
      </c>
      <c r="C75" t="str">
        <f>Hyperlink("https://www.diodes.com/part/view/DMC2400UVQ","DMC2400UVQ")</f>
        <v>DMC2400UVQ</v>
      </c>
      <c r="D75" t="s">
        <v>306</v>
      </c>
      <c r="E75" t="s">
        <v>27</v>
      </c>
      <c r="F75" t="s">
        <v>37</v>
      </c>
      <c r="G75" t="s">
        <v>114</v>
      </c>
      <c r="H75" t="s">
        <v>27</v>
      </c>
      <c r="I75" t="s">
        <v>116</v>
      </c>
      <c r="J75">
        <v>12</v>
      </c>
      <c r="K75" t="s">
        <v>307</v>
      </c>
      <c r="M75">
        <v>1</v>
      </c>
      <c r="P75" t="s">
        <v>301</v>
      </c>
      <c r="Q75" t="s">
        <v>302</v>
      </c>
      <c r="R75" t="s">
        <v>308</v>
      </c>
      <c r="S75" t="s">
        <v>231</v>
      </c>
      <c r="T75" t="s">
        <v>309</v>
      </c>
      <c r="U75" t="s">
        <v>231</v>
      </c>
      <c r="W75" t="s">
        <v>310</v>
      </c>
      <c r="X75" t="s">
        <v>238</v>
      </c>
      <c r="Y75" t="s">
        <v>60</v>
      </c>
    </row>
    <row r="76" spans="1:25">
      <c r="A76" t="s">
        <v>311</v>
      </c>
      <c r="B76" s="2" t="str">
        <f>Hyperlink("https://www.diodes.com/datasheet/download/DMC2450UV.pdf")</f>
        <v>https://www.diodes.com/datasheet/download/DMC2450UV.pdf</v>
      </c>
      <c r="C76" t="str">
        <f>Hyperlink("https://www.diodes.com/part/view/DMC2450UV","DMC2450UV")</f>
        <v>DMC2450UV</v>
      </c>
      <c r="D76" t="s">
        <v>113</v>
      </c>
      <c r="E76" t="s">
        <v>27</v>
      </c>
      <c r="F76" t="s">
        <v>28</v>
      </c>
      <c r="G76" t="s">
        <v>114</v>
      </c>
      <c r="H76" t="s">
        <v>27</v>
      </c>
      <c r="I76" t="s">
        <v>116</v>
      </c>
      <c r="J76" t="s">
        <v>185</v>
      </c>
      <c r="K76" t="s">
        <v>300</v>
      </c>
      <c r="M76">
        <v>1</v>
      </c>
      <c r="P76" t="s">
        <v>301</v>
      </c>
      <c r="Q76" t="s">
        <v>302</v>
      </c>
      <c r="R76" t="s">
        <v>230</v>
      </c>
      <c r="S76" t="s">
        <v>231</v>
      </c>
      <c r="T76" t="s">
        <v>303</v>
      </c>
      <c r="U76" t="s">
        <v>231</v>
      </c>
      <c r="W76" t="s">
        <v>310</v>
      </c>
      <c r="X76" t="s">
        <v>238</v>
      </c>
      <c r="Y76" t="s">
        <v>60</v>
      </c>
    </row>
    <row r="77" spans="1:25">
      <c r="A77" t="s">
        <v>312</v>
      </c>
      <c r="B77" s="2" t="str">
        <f>Hyperlink("https://www.diodes.com/datasheet/download/DMC25D0UVT.pdf")</f>
        <v>https://www.diodes.com/datasheet/download/DMC25D0UVT.pdf</v>
      </c>
      <c r="C77" t="str">
        <f>Hyperlink("https://www.diodes.com/part/view/DMC25D0UVT","DMC25D0UVT")</f>
        <v>DMC25D0UVT</v>
      </c>
      <c r="D77" t="s">
        <v>113</v>
      </c>
      <c r="E77" t="s">
        <v>27</v>
      </c>
      <c r="F77" t="s">
        <v>28</v>
      </c>
      <c r="G77" t="s">
        <v>114</v>
      </c>
      <c r="H77" t="s">
        <v>27</v>
      </c>
      <c r="I77" t="s">
        <v>313</v>
      </c>
      <c r="J77" t="s">
        <v>156</v>
      </c>
      <c r="K77" t="s">
        <v>314</v>
      </c>
      <c r="M77">
        <v>1.2</v>
      </c>
      <c r="P77" t="s">
        <v>315</v>
      </c>
      <c r="Q77">
        <v>300</v>
      </c>
      <c r="S77" t="s">
        <v>316</v>
      </c>
      <c r="T77" t="s">
        <v>140</v>
      </c>
      <c r="U77" t="s">
        <v>317</v>
      </c>
      <c r="V77" t="s">
        <v>318</v>
      </c>
      <c r="W77" t="s">
        <v>319</v>
      </c>
      <c r="X77" t="s">
        <v>320</v>
      </c>
      <c r="Y77" t="s">
        <v>183</v>
      </c>
    </row>
    <row r="78" spans="1:25">
      <c r="A78" t="s">
        <v>321</v>
      </c>
      <c r="B78" s="2" t="str">
        <f>Hyperlink("https://www.diodes.com/datasheet/download/DMC25D1UVT.pdf")</f>
        <v>https://www.diodes.com/datasheet/download/DMC25D1UVT.pdf</v>
      </c>
      <c r="C78" t="str">
        <f>Hyperlink("https://www.diodes.com/part/view/DMC25D1UVT","DMC25D1UVT")</f>
        <v>DMC25D1UVT</v>
      </c>
      <c r="D78" t="s">
        <v>113</v>
      </c>
      <c r="E78" t="s">
        <v>27</v>
      </c>
      <c r="F78" t="s">
        <v>28</v>
      </c>
      <c r="G78" t="s">
        <v>114</v>
      </c>
      <c r="H78" t="s">
        <v>27</v>
      </c>
      <c r="I78" t="s">
        <v>322</v>
      </c>
      <c r="J78" t="s">
        <v>135</v>
      </c>
      <c r="K78" t="s">
        <v>323</v>
      </c>
      <c r="M78">
        <v>1.3</v>
      </c>
      <c r="P78" t="s">
        <v>324</v>
      </c>
      <c r="Q78" t="s">
        <v>325</v>
      </c>
      <c r="R78" t="s">
        <v>326</v>
      </c>
      <c r="S78" t="s">
        <v>327</v>
      </c>
      <c r="T78" t="s">
        <v>140</v>
      </c>
      <c r="U78" t="s">
        <v>328</v>
      </c>
      <c r="V78" t="s">
        <v>329</v>
      </c>
      <c r="W78" t="s">
        <v>330</v>
      </c>
      <c r="X78" t="s">
        <v>331</v>
      </c>
      <c r="Y78" t="s">
        <v>183</v>
      </c>
    </row>
    <row r="79" spans="1:25">
      <c r="A79" t="s">
        <v>332</v>
      </c>
      <c r="B79" s="2" t="str">
        <f>Hyperlink("https://www.diodes.com/datasheet/download/DMC2700UDM.pdf")</f>
        <v>https://www.diodes.com/datasheet/download/DMC2700UDM.pdf</v>
      </c>
      <c r="C79" t="str">
        <f>Hyperlink("https://www.diodes.com/part/view/DMC2700UDM","DMC2700UDM")</f>
        <v>DMC2700UDM</v>
      </c>
      <c r="D79" t="s">
        <v>113</v>
      </c>
      <c r="E79" t="s">
        <v>27</v>
      </c>
      <c r="F79" t="s">
        <v>28</v>
      </c>
      <c r="G79" t="s">
        <v>114</v>
      </c>
      <c r="H79" t="s">
        <v>27</v>
      </c>
      <c r="I79" t="s">
        <v>116</v>
      </c>
      <c r="J79" t="s">
        <v>163</v>
      </c>
      <c r="K79" t="s">
        <v>333</v>
      </c>
      <c r="M79">
        <v>1.12</v>
      </c>
      <c r="P79" t="s">
        <v>334</v>
      </c>
      <c r="Q79" t="s">
        <v>335</v>
      </c>
      <c r="R79" t="s">
        <v>336</v>
      </c>
      <c r="S79" t="s">
        <v>231</v>
      </c>
      <c r="T79" t="s">
        <v>175</v>
      </c>
      <c r="U79" t="s">
        <v>337</v>
      </c>
      <c r="W79" t="s">
        <v>338</v>
      </c>
      <c r="X79" t="s">
        <v>233</v>
      </c>
      <c r="Y79" t="s">
        <v>339</v>
      </c>
    </row>
    <row r="80" spans="1:25">
      <c r="A80" t="s">
        <v>340</v>
      </c>
      <c r="B80" s="2" t="str">
        <f>Hyperlink("https://www.diodes.com/datasheet/download/DMC2710UDW+.pdf")</f>
        <v>https://www.diodes.com/datasheet/download/DMC2710UDW+.pdf</v>
      </c>
      <c r="C80" t="str">
        <f>Hyperlink("https://www.diodes.com/part/view/DMC2710UDW","DMC2710UDW")</f>
        <v>DMC2710UDW</v>
      </c>
      <c r="D80" t="s">
        <v>113</v>
      </c>
      <c r="E80" t="s">
        <v>30</v>
      </c>
      <c r="F80" t="s">
        <v>28</v>
      </c>
      <c r="G80" t="s">
        <v>114</v>
      </c>
      <c r="H80" t="s">
        <v>27</v>
      </c>
      <c r="I80" t="s">
        <v>116</v>
      </c>
      <c r="J80" t="s">
        <v>163</v>
      </c>
      <c r="K80" t="s">
        <v>235</v>
      </c>
      <c r="M80">
        <v>0.38</v>
      </c>
      <c r="P80" t="s">
        <v>341</v>
      </c>
      <c r="Q80" t="s">
        <v>342</v>
      </c>
      <c r="R80" t="s">
        <v>343</v>
      </c>
      <c r="S80" t="s">
        <v>231</v>
      </c>
      <c r="T80" t="s">
        <v>175</v>
      </c>
      <c r="U80" t="s">
        <v>344</v>
      </c>
      <c r="W80" t="s">
        <v>345</v>
      </c>
      <c r="X80" t="s">
        <v>233</v>
      </c>
      <c r="Y80" t="s">
        <v>42</v>
      </c>
    </row>
    <row r="81" spans="1:25">
      <c r="A81" t="s">
        <v>346</v>
      </c>
      <c r="B81" s="2" t="str">
        <f>Hyperlink("https://www.diodes.com/datasheet/download/DMC2710UDWQ.pdf")</f>
        <v>https://www.diodes.com/datasheet/download/DMC2710UDWQ.pdf</v>
      </c>
      <c r="C81" t="str">
        <f>Hyperlink("https://www.diodes.com/part/view/DMC2710UDWQ","DMC2710UDWQ")</f>
        <v>DMC2710UDWQ</v>
      </c>
      <c r="D81" t="s">
        <v>113</v>
      </c>
      <c r="E81" t="s">
        <v>27</v>
      </c>
      <c r="F81" t="s">
        <v>37</v>
      </c>
      <c r="G81" t="s">
        <v>114</v>
      </c>
      <c r="H81" t="s">
        <v>27</v>
      </c>
      <c r="I81" t="s">
        <v>116</v>
      </c>
      <c r="J81" t="s">
        <v>163</v>
      </c>
      <c r="K81" t="s">
        <v>235</v>
      </c>
      <c r="M81">
        <v>0.38</v>
      </c>
      <c r="P81" t="s">
        <v>341</v>
      </c>
      <c r="Q81" t="s">
        <v>342</v>
      </c>
      <c r="R81" t="s">
        <v>343</v>
      </c>
      <c r="S81" t="s">
        <v>231</v>
      </c>
      <c r="T81" t="s">
        <v>175</v>
      </c>
      <c r="U81" t="s">
        <v>344</v>
      </c>
      <c r="W81" t="s">
        <v>347</v>
      </c>
      <c r="X81" t="s">
        <v>233</v>
      </c>
      <c r="Y81" t="s">
        <v>42</v>
      </c>
    </row>
    <row r="82" spans="1:25">
      <c r="A82" t="s">
        <v>348</v>
      </c>
      <c r="B82" s="2" t="str">
        <f>Hyperlink("https://www.diodes.com/datasheet/download/DMC2710UV.pdf")</f>
        <v>https://www.diodes.com/datasheet/download/DMC2710UV.pdf</v>
      </c>
      <c r="C82" t="str">
        <f>Hyperlink("https://www.diodes.com/part/view/DMC2710UV","DMC2710UV")</f>
        <v>DMC2710UV</v>
      </c>
      <c r="D82" t="s">
        <v>113</v>
      </c>
      <c r="E82" t="s">
        <v>30</v>
      </c>
      <c r="F82" t="s">
        <v>28</v>
      </c>
      <c r="G82" t="s">
        <v>114</v>
      </c>
      <c r="H82" t="s">
        <v>27</v>
      </c>
      <c r="I82" t="s">
        <v>116</v>
      </c>
      <c r="J82" t="s">
        <v>163</v>
      </c>
      <c r="K82" t="s">
        <v>349</v>
      </c>
      <c r="M82">
        <v>0.8</v>
      </c>
      <c r="P82" t="s">
        <v>334</v>
      </c>
      <c r="Q82" t="s">
        <v>335</v>
      </c>
      <c r="R82" t="s">
        <v>336</v>
      </c>
      <c r="S82" t="s">
        <v>231</v>
      </c>
      <c r="T82" t="s">
        <v>175</v>
      </c>
      <c r="U82" t="s">
        <v>344</v>
      </c>
      <c r="W82" t="s">
        <v>345</v>
      </c>
      <c r="X82" t="s">
        <v>233</v>
      </c>
      <c r="Y82" t="s">
        <v>60</v>
      </c>
    </row>
    <row r="83" spans="1:25">
      <c r="A83" t="s">
        <v>350</v>
      </c>
      <c r="B83" s="2" t="str">
        <f>Hyperlink("https://www.diodes.com/datasheet/download/DMC2710UVQ.pdf")</f>
        <v>https://www.diodes.com/datasheet/download/DMC2710UVQ.pdf</v>
      </c>
      <c r="C83" t="str">
        <f>Hyperlink("https://www.diodes.com/part/view/DMC2710UVQ","DMC2710UVQ")</f>
        <v>DMC2710UVQ</v>
      </c>
      <c r="D83" t="s">
        <v>113</v>
      </c>
      <c r="E83" t="s">
        <v>27</v>
      </c>
      <c r="F83" t="s">
        <v>37</v>
      </c>
      <c r="G83" t="s">
        <v>114</v>
      </c>
      <c r="H83" t="s">
        <v>27</v>
      </c>
      <c r="I83" t="s">
        <v>116</v>
      </c>
      <c r="J83" t="s">
        <v>163</v>
      </c>
      <c r="K83" t="s">
        <v>349</v>
      </c>
      <c r="M83">
        <v>0.8</v>
      </c>
      <c r="P83" t="s">
        <v>334</v>
      </c>
      <c r="Q83" t="s">
        <v>335</v>
      </c>
      <c r="R83" t="s">
        <v>336</v>
      </c>
      <c r="S83" t="s">
        <v>231</v>
      </c>
      <c r="T83" t="s">
        <v>175</v>
      </c>
      <c r="U83" t="s">
        <v>344</v>
      </c>
      <c r="W83" t="s">
        <v>345</v>
      </c>
      <c r="X83">
        <v>16</v>
      </c>
      <c r="Y83" t="s">
        <v>60</v>
      </c>
    </row>
    <row r="84" spans="1:25">
      <c r="A84" t="s">
        <v>351</v>
      </c>
      <c r="B84" s="2" t="str">
        <f>Hyperlink("https://www.diodes.com/datasheet/download/DMC2710UVT.pdf")</f>
        <v>https://www.diodes.com/datasheet/download/DMC2710UVT.pdf</v>
      </c>
      <c r="C84" t="str">
        <f>Hyperlink("https://www.diodes.com/part/view/DMC2710UVT","DMC2710UVT")</f>
        <v>DMC2710UVT</v>
      </c>
      <c r="D84" t="s">
        <v>352</v>
      </c>
      <c r="E84" t="s">
        <v>30</v>
      </c>
      <c r="F84" t="s">
        <v>28</v>
      </c>
      <c r="G84" t="s">
        <v>114</v>
      </c>
      <c r="H84" t="s">
        <v>27</v>
      </c>
      <c r="I84" t="s">
        <v>116</v>
      </c>
      <c r="J84" t="s">
        <v>163</v>
      </c>
      <c r="K84" t="s">
        <v>353</v>
      </c>
      <c r="M84">
        <v>0.8</v>
      </c>
      <c r="P84" t="s">
        <v>334</v>
      </c>
      <c r="Q84" t="s">
        <v>335</v>
      </c>
      <c r="R84" t="s">
        <v>336</v>
      </c>
      <c r="S84" t="s">
        <v>231</v>
      </c>
      <c r="T84" t="s">
        <v>175</v>
      </c>
      <c r="U84" t="s">
        <v>344</v>
      </c>
      <c r="W84" t="s">
        <v>345</v>
      </c>
      <c r="X84" t="s">
        <v>233</v>
      </c>
      <c r="Y84" t="s">
        <v>183</v>
      </c>
    </row>
    <row r="85" spans="1:25">
      <c r="A85" t="s">
        <v>354</v>
      </c>
      <c r="B85" s="2" t="str">
        <f>Hyperlink("https://www.diodes.com/datasheet/download/DMC2990UDJ.pdf")</f>
        <v>https://www.diodes.com/datasheet/download/DMC2990UDJ.pdf</v>
      </c>
      <c r="C85" t="str">
        <f>Hyperlink("https://www.diodes.com/part/view/DMC2990UDJ","DMC2990UDJ")</f>
        <v>DMC2990UDJ</v>
      </c>
      <c r="D85" t="s">
        <v>113</v>
      </c>
      <c r="E85" t="s">
        <v>27</v>
      </c>
      <c r="F85" t="s">
        <v>28</v>
      </c>
      <c r="G85" t="s">
        <v>114</v>
      </c>
      <c r="H85" t="s">
        <v>27</v>
      </c>
      <c r="I85" t="s">
        <v>116</v>
      </c>
      <c r="J85" t="s">
        <v>135</v>
      </c>
      <c r="K85" t="s">
        <v>355</v>
      </c>
      <c r="M85">
        <v>0.35</v>
      </c>
      <c r="P85" t="s">
        <v>293</v>
      </c>
      <c r="Q85" t="s">
        <v>294</v>
      </c>
      <c r="R85" t="s">
        <v>295</v>
      </c>
      <c r="S85" t="s">
        <v>174</v>
      </c>
      <c r="T85" t="s">
        <v>175</v>
      </c>
      <c r="U85" t="s">
        <v>242</v>
      </c>
      <c r="W85" t="s">
        <v>356</v>
      </c>
      <c r="X85" t="s">
        <v>357</v>
      </c>
      <c r="Y85" t="s">
        <v>358</v>
      </c>
    </row>
    <row r="86" spans="1:25">
      <c r="A86" t="s">
        <v>359</v>
      </c>
      <c r="B86" s="2" t="str">
        <f>Hyperlink("https://www.diodes.com/datasheet/download/DMC2990UDJQ.pdf")</f>
        <v>https://www.diodes.com/datasheet/download/DMC2990UDJQ.pdf</v>
      </c>
      <c r="C86" t="str">
        <f>Hyperlink("https://www.diodes.com/part/view/DMC2990UDJQ","DMC2990UDJQ")</f>
        <v>DMC2990UDJQ</v>
      </c>
      <c r="D86" t="s">
        <v>113</v>
      </c>
      <c r="E86" t="s">
        <v>27</v>
      </c>
      <c r="F86" t="s">
        <v>37</v>
      </c>
      <c r="G86" t="s">
        <v>114</v>
      </c>
      <c r="H86" t="s">
        <v>27</v>
      </c>
      <c r="I86" t="s">
        <v>116</v>
      </c>
      <c r="J86" t="s">
        <v>135</v>
      </c>
      <c r="K86" t="s">
        <v>355</v>
      </c>
      <c r="M86">
        <v>0.35</v>
      </c>
      <c r="P86" t="s">
        <v>293</v>
      </c>
      <c r="Q86" t="s">
        <v>294</v>
      </c>
      <c r="R86" t="s">
        <v>295</v>
      </c>
      <c r="S86" t="s">
        <v>174</v>
      </c>
      <c r="T86" t="s">
        <v>175</v>
      </c>
      <c r="U86" t="s">
        <v>242</v>
      </c>
      <c r="W86" t="s">
        <v>356</v>
      </c>
      <c r="X86" t="s">
        <v>357</v>
      </c>
      <c r="Y86" t="s">
        <v>358</v>
      </c>
    </row>
    <row r="87" spans="1:25">
      <c r="A87" t="s">
        <v>360</v>
      </c>
      <c r="B87" s="2" t="str">
        <f>Hyperlink("https://www.diodes.com/datasheet/download/DMC2991UDA.pdf")</f>
        <v>https://www.diodes.com/datasheet/download/DMC2991UDA.pdf</v>
      </c>
      <c r="C87" t="str">
        <f>Hyperlink("https://www.diodes.com/part/view/DMC2991UDA","DMC2991UDA")</f>
        <v>DMC2991UDA</v>
      </c>
      <c r="D87" t="s">
        <v>113</v>
      </c>
      <c r="E87" t="s">
        <v>30</v>
      </c>
      <c r="F87" t="s">
        <v>28</v>
      </c>
      <c r="G87" t="s">
        <v>114</v>
      </c>
      <c r="H87" t="s">
        <v>27</v>
      </c>
      <c r="I87" t="s">
        <v>116</v>
      </c>
      <c r="J87" t="s">
        <v>135</v>
      </c>
      <c r="K87" t="s">
        <v>361</v>
      </c>
      <c r="M87">
        <v>0.35</v>
      </c>
      <c r="P87" t="s">
        <v>293</v>
      </c>
      <c r="Q87" t="s">
        <v>294</v>
      </c>
      <c r="R87" t="s">
        <v>295</v>
      </c>
      <c r="S87" t="s">
        <v>174</v>
      </c>
      <c r="T87" t="s">
        <v>362</v>
      </c>
      <c r="U87" t="s">
        <v>363</v>
      </c>
      <c r="W87" t="s">
        <v>364</v>
      </c>
      <c r="X87" t="s">
        <v>365</v>
      </c>
      <c r="Y87" t="s">
        <v>298</v>
      </c>
    </row>
    <row r="88" spans="1:25">
      <c r="A88" t="s">
        <v>366</v>
      </c>
      <c r="B88" s="2" t="str">
        <f>Hyperlink("https://www.diodes.com/datasheet/download/DMC2991UDJ.pdf")</f>
        <v>https://www.diodes.com/datasheet/download/DMC2991UDJ.pdf</v>
      </c>
      <c r="C88" t="str">
        <f>Hyperlink("https://www.diodes.com/part/view/DMC2991UDJ","DMC2991UDJ")</f>
        <v>DMC2991UDJ</v>
      </c>
      <c r="D88" t="s">
        <v>113</v>
      </c>
      <c r="E88" t="s">
        <v>30</v>
      </c>
      <c r="F88" t="s">
        <v>28</v>
      </c>
      <c r="G88" t="s">
        <v>114</v>
      </c>
      <c r="H88" t="s">
        <v>27</v>
      </c>
      <c r="I88" t="s">
        <v>116</v>
      </c>
      <c r="J88" t="s">
        <v>135</v>
      </c>
      <c r="K88" t="s">
        <v>367</v>
      </c>
      <c r="M88">
        <v>0.38</v>
      </c>
      <c r="P88" t="s">
        <v>293</v>
      </c>
      <c r="Q88" t="s">
        <v>294</v>
      </c>
      <c r="R88" t="s">
        <v>295</v>
      </c>
      <c r="S88" t="s">
        <v>174</v>
      </c>
      <c r="T88" t="s">
        <v>175</v>
      </c>
      <c r="U88" t="s">
        <v>363</v>
      </c>
      <c r="W88" t="s">
        <v>364</v>
      </c>
      <c r="X88" t="s">
        <v>368</v>
      </c>
      <c r="Y88" t="s">
        <v>358</v>
      </c>
    </row>
    <row r="89" spans="1:25">
      <c r="A89" t="s">
        <v>369</v>
      </c>
      <c r="B89" s="2" t="str">
        <f>Hyperlink("https://www.diodes.com/datasheet/download/DMC2991UDR4.pdf")</f>
        <v>https://www.diodes.com/datasheet/download/DMC2991UDR4.pdf</v>
      </c>
      <c r="C89" t="str">
        <f>Hyperlink("https://www.diodes.com/part/view/DMC2991UDR4","DMC2991UDR4")</f>
        <v>DMC2991UDR4</v>
      </c>
      <c r="D89" t="s">
        <v>306</v>
      </c>
      <c r="E89" t="s">
        <v>30</v>
      </c>
      <c r="F89" t="s">
        <v>28</v>
      </c>
      <c r="G89" t="s">
        <v>114</v>
      </c>
      <c r="H89" t="s">
        <v>27</v>
      </c>
      <c r="I89" t="s">
        <v>116</v>
      </c>
      <c r="J89" t="s">
        <v>135</v>
      </c>
      <c r="K89" t="s">
        <v>367</v>
      </c>
      <c r="M89">
        <v>0.7</v>
      </c>
      <c r="P89" t="s">
        <v>293</v>
      </c>
      <c r="Q89" t="s">
        <v>294</v>
      </c>
      <c r="R89" t="s">
        <v>295</v>
      </c>
      <c r="S89" t="s">
        <v>174</v>
      </c>
      <c r="T89" t="s">
        <v>362</v>
      </c>
      <c r="U89" t="s">
        <v>370</v>
      </c>
      <c r="W89" t="s">
        <v>371</v>
      </c>
      <c r="X89" t="s">
        <v>233</v>
      </c>
      <c r="Y89" t="s">
        <v>372</v>
      </c>
    </row>
    <row r="90" spans="1:25">
      <c r="A90" t="s">
        <v>373</v>
      </c>
      <c r="B90" s="2" t="str">
        <f>Hyperlink("https://www.diodes.com/datasheet/download/DMC3016LDV.pdf")</f>
        <v>https://www.diodes.com/datasheet/download/DMC3016LDV.pdf</v>
      </c>
      <c r="C90" t="str">
        <f>Hyperlink("https://www.diodes.com/part/view/DMC3016LDV","DMC3016LDV")</f>
        <v>DMC3016LDV</v>
      </c>
      <c r="D90" t="s">
        <v>113</v>
      </c>
      <c r="E90" t="s">
        <v>30</v>
      </c>
      <c r="F90" t="s">
        <v>28</v>
      </c>
      <c r="G90" t="s">
        <v>114</v>
      </c>
      <c r="H90" t="s">
        <v>30</v>
      </c>
      <c r="I90" t="s">
        <v>374</v>
      </c>
      <c r="J90" t="s">
        <v>116</v>
      </c>
      <c r="K90" t="s">
        <v>375</v>
      </c>
      <c r="M90">
        <v>1.8</v>
      </c>
      <c r="O90" t="s">
        <v>376</v>
      </c>
      <c r="P90" t="s">
        <v>167</v>
      </c>
      <c r="T90" t="s">
        <v>377</v>
      </c>
      <c r="U90" t="s">
        <v>378</v>
      </c>
      <c r="V90" t="s">
        <v>379</v>
      </c>
      <c r="W90" t="s">
        <v>380</v>
      </c>
      <c r="X90" t="s">
        <v>357</v>
      </c>
      <c r="Y90" t="s">
        <v>381</v>
      </c>
    </row>
    <row r="91" spans="1:25">
      <c r="A91" t="s">
        <v>382</v>
      </c>
      <c r="B91" s="2" t="str">
        <f>Hyperlink("https://www.diodes.com/datasheet/download/DMC3016LNS.pdf")</f>
        <v>https://www.diodes.com/datasheet/download/DMC3016LNS.pdf</v>
      </c>
      <c r="C91" t="str">
        <f>Hyperlink("https://www.diodes.com/part/view/DMC3016LNS","DMC3016LNS")</f>
        <v>DMC3016LNS</v>
      </c>
      <c r="D91" t="s">
        <v>113</v>
      </c>
      <c r="E91" t="s">
        <v>30</v>
      </c>
      <c r="F91" t="s">
        <v>28</v>
      </c>
      <c r="G91" t="s">
        <v>114</v>
      </c>
      <c r="H91" t="s">
        <v>30</v>
      </c>
      <c r="I91" t="s">
        <v>374</v>
      </c>
      <c r="J91" t="s">
        <v>116</v>
      </c>
      <c r="K91" t="s">
        <v>383</v>
      </c>
      <c r="M91">
        <v>2</v>
      </c>
      <c r="O91" t="s">
        <v>384</v>
      </c>
      <c r="P91" t="s">
        <v>385</v>
      </c>
      <c r="T91" t="s">
        <v>377</v>
      </c>
      <c r="U91" t="s">
        <v>378</v>
      </c>
      <c r="V91" t="s">
        <v>379</v>
      </c>
      <c r="W91" t="s">
        <v>380</v>
      </c>
      <c r="X91" t="s">
        <v>357</v>
      </c>
      <c r="Y91" t="s">
        <v>386</v>
      </c>
    </row>
    <row r="92" spans="1:25">
      <c r="A92" t="s">
        <v>387</v>
      </c>
      <c r="B92" s="2" t="str">
        <f>Hyperlink("https://www.diodes.com/datasheet/download/DMC3016LSD.pdf")</f>
        <v>https://www.diodes.com/datasheet/download/DMC3016LSD.pdf</v>
      </c>
      <c r="C92" t="str">
        <f>Hyperlink("https://www.diodes.com/part/view/DMC3016LSD","DMC3016LSD")</f>
        <v>DMC3016LSD</v>
      </c>
      <c r="D92" t="s">
        <v>113</v>
      </c>
      <c r="E92" t="s">
        <v>27</v>
      </c>
      <c r="F92" t="s">
        <v>28</v>
      </c>
      <c r="G92" t="s">
        <v>114</v>
      </c>
      <c r="H92" t="s">
        <v>30</v>
      </c>
      <c r="I92" t="s">
        <v>374</v>
      </c>
      <c r="J92" t="s">
        <v>116</v>
      </c>
      <c r="K92" t="s">
        <v>388</v>
      </c>
      <c r="M92">
        <v>1.2</v>
      </c>
      <c r="O92" t="s">
        <v>384</v>
      </c>
      <c r="P92" t="s">
        <v>385</v>
      </c>
      <c r="T92" t="s">
        <v>219</v>
      </c>
      <c r="U92" t="s">
        <v>389</v>
      </c>
      <c r="V92" t="s">
        <v>390</v>
      </c>
      <c r="W92" t="s">
        <v>391</v>
      </c>
      <c r="X92" t="s">
        <v>357</v>
      </c>
      <c r="Y92" t="s">
        <v>213</v>
      </c>
    </row>
    <row r="93" spans="1:25">
      <c r="A93" t="s">
        <v>392</v>
      </c>
      <c r="B93" s="2" t="str">
        <f>Hyperlink("https://www.diodes.com/datasheet/download/DMC3020UDVW.pdf")</f>
        <v>https://www.diodes.com/datasheet/download/DMC3020UDVW.pdf</v>
      </c>
      <c r="C93" t="str">
        <f>Hyperlink("https://www.diodes.com/part/view/DMC3020UDVW","DMC3020UDVW")</f>
        <v>DMC3020UDVW</v>
      </c>
      <c r="D93" t="s">
        <v>306</v>
      </c>
      <c r="E93" t="s">
        <v>30</v>
      </c>
      <c r="F93" t="s">
        <v>28</v>
      </c>
      <c r="G93" t="s">
        <v>114</v>
      </c>
      <c r="H93" t="s">
        <v>27</v>
      </c>
      <c r="I93">
        <v>30</v>
      </c>
      <c r="J93" t="s">
        <v>134</v>
      </c>
      <c r="L93" t="s">
        <v>393</v>
      </c>
      <c r="M93">
        <v>2.21</v>
      </c>
      <c r="O93" t="s">
        <v>394</v>
      </c>
      <c r="P93" t="s">
        <v>395</v>
      </c>
      <c r="S93" t="s">
        <v>396</v>
      </c>
      <c r="T93" t="s">
        <v>397</v>
      </c>
      <c r="U93" t="s">
        <v>398</v>
      </c>
      <c r="V93" t="s">
        <v>399</v>
      </c>
      <c r="W93" t="s">
        <v>400</v>
      </c>
      <c r="X93" t="s">
        <v>357</v>
      </c>
      <c r="Y93" t="s">
        <v>401</v>
      </c>
    </row>
    <row r="94" spans="1:25">
      <c r="A94" t="s">
        <v>402</v>
      </c>
      <c r="B94" s="2" t="str">
        <f>Hyperlink("https://www.diodes.com/datasheet/download/DMC3021LSD.pdf")</f>
        <v>https://www.diodes.com/datasheet/download/DMC3021LSD.pdf</v>
      </c>
      <c r="C94" t="str">
        <f>Hyperlink("https://www.diodes.com/part/view/DMC3021LSD","DMC3021LSD")</f>
        <v>DMC3021LSD</v>
      </c>
      <c r="D94" t="s">
        <v>113</v>
      </c>
      <c r="E94" t="s">
        <v>27</v>
      </c>
      <c r="F94" t="s">
        <v>28</v>
      </c>
      <c r="G94" t="s">
        <v>114</v>
      </c>
      <c r="H94" t="s">
        <v>30</v>
      </c>
      <c r="I94" t="s">
        <v>374</v>
      </c>
      <c r="J94" t="s">
        <v>116</v>
      </c>
      <c r="K94" t="s">
        <v>403</v>
      </c>
      <c r="M94">
        <v>2.5</v>
      </c>
      <c r="O94" t="s">
        <v>404</v>
      </c>
      <c r="P94" t="s">
        <v>405</v>
      </c>
      <c r="S94" t="s">
        <v>175</v>
      </c>
      <c r="T94" t="s">
        <v>406</v>
      </c>
      <c r="U94" t="s">
        <v>407</v>
      </c>
      <c r="V94" t="s">
        <v>408</v>
      </c>
      <c r="W94" t="s">
        <v>409</v>
      </c>
      <c r="X94" t="s">
        <v>238</v>
      </c>
      <c r="Y94" t="s">
        <v>213</v>
      </c>
    </row>
    <row r="95" spans="1:25">
      <c r="A95" t="s">
        <v>410</v>
      </c>
      <c r="B95" s="2" t="str">
        <f>Hyperlink("https://www.diodes.com/datasheet/download/DMC3021LSDQ.pdf")</f>
        <v>https://www.diodes.com/datasheet/download/DMC3021LSDQ.pdf</v>
      </c>
      <c r="C95" t="str">
        <f>Hyperlink("https://www.diodes.com/part/view/DMC3021LSDQ","DMC3021LSDQ")</f>
        <v>DMC3021LSDQ</v>
      </c>
      <c r="D95" t="s">
        <v>113</v>
      </c>
      <c r="E95" t="s">
        <v>27</v>
      </c>
      <c r="F95" t="s">
        <v>37</v>
      </c>
      <c r="G95" t="s">
        <v>114</v>
      </c>
      <c r="H95" t="s">
        <v>30</v>
      </c>
      <c r="I95" t="s">
        <v>374</v>
      </c>
      <c r="J95" t="s">
        <v>116</v>
      </c>
      <c r="K95" t="s">
        <v>403</v>
      </c>
      <c r="M95">
        <v>2.5</v>
      </c>
      <c r="O95" t="s">
        <v>404</v>
      </c>
      <c r="P95" t="s">
        <v>405</v>
      </c>
      <c r="S95" t="s">
        <v>175</v>
      </c>
      <c r="T95" t="s">
        <v>406</v>
      </c>
      <c r="U95" t="s">
        <v>407</v>
      </c>
      <c r="V95" t="s">
        <v>408</v>
      </c>
      <c r="W95" t="s">
        <v>409</v>
      </c>
      <c r="X95" t="s">
        <v>238</v>
      </c>
      <c r="Y95" t="s">
        <v>213</v>
      </c>
    </row>
    <row r="96" spans="1:25">
      <c r="A96" t="s">
        <v>411</v>
      </c>
      <c r="B96" s="2" t="str">
        <f>Hyperlink("https://www.diodes.com/datasheet/download/DMC3025LDV.pdf")</f>
        <v>https://www.diodes.com/datasheet/download/DMC3025LDV.pdf</v>
      </c>
      <c r="C96" t="str">
        <f>Hyperlink("https://www.diodes.com/part/view/DMC3025LDV","DMC3025LDV")</f>
        <v>DMC3025LDV</v>
      </c>
      <c r="D96" t="s">
        <v>113</v>
      </c>
      <c r="E96" t="s">
        <v>30</v>
      </c>
      <c r="F96" t="s">
        <v>28</v>
      </c>
      <c r="G96" t="s">
        <v>114</v>
      </c>
      <c r="H96" t="s">
        <v>30</v>
      </c>
      <c r="I96" t="s">
        <v>374</v>
      </c>
      <c r="J96" t="s">
        <v>116</v>
      </c>
      <c r="K96" t="s">
        <v>357</v>
      </c>
      <c r="M96">
        <v>1.9</v>
      </c>
      <c r="O96" t="s">
        <v>148</v>
      </c>
      <c r="P96" t="s">
        <v>412</v>
      </c>
      <c r="T96" t="s">
        <v>377</v>
      </c>
      <c r="U96" t="s">
        <v>413</v>
      </c>
      <c r="V96" t="s">
        <v>414</v>
      </c>
      <c r="W96" t="s">
        <v>415</v>
      </c>
      <c r="X96" t="s">
        <v>357</v>
      </c>
      <c r="Y96" t="s">
        <v>381</v>
      </c>
    </row>
    <row r="97" spans="1:25">
      <c r="A97" t="s">
        <v>416</v>
      </c>
      <c r="B97" s="2" t="str">
        <f>Hyperlink("https://www.diodes.com/datasheet/download/DMC3025LNS.pdf")</f>
        <v>https://www.diodes.com/datasheet/download/DMC3025LNS.pdf</v>
      </c>
      <c r="C97" t="str">
        <f>Hyperlink("https://www.diodes.com/part/view/DMC3025LNS","DMC3025LNS")</f>
        <v>DMC3025LNS</v>
      </c>
      <c r="D97" t="s">
        <v>113</v>
      </c>
      <c r="E97" t="s">
        <v>30</v>
      </c>
      <c r="F97" t="s">
        <v>28</v>
      </c>
      <c r="G97" t="s">
        <v>114</v>
      </c>
      <c r="H97" t="s">
        <v>30</v>
      </c>
      <c r="I97" t="s">
        <v>374</v>
      </c>
      <c r="J97" t="s">
        <v>116</v>
      </c>
      <c r="K97" t="s">
        <v>417</v>
      </c>
      <c r="M97">
        <v>1.8</v>
      </c>
      <c r="O97" t="s">
        <v>418</v>
      </c>
      <c r="P97" t="s">
        <v>412</v>
      </c>
      <c r="T97" t="s">
        <v>377</v>
      </c>
      <c r="U97" t="s">
        <v>413</v>
      </c>
      <c r="V97" t="s">
        <v>414</v>
      </c>
      <c r="W97" t="s">
        <v>415</v>
      </c>
      <c r="X97" t="s">
        <v>357</v>
      </c>
      <c r="Y97" t="s">
        <v>386</v>
      </c>
    </row>
    <row r="98" spans="1:25">
      <c r="A98" t="s">
        <v>419</v>
      </c>
      <c r="B98" s="2" t="str">
        <f>Hyperlink("https://www.diodes.com/datasheet/download/DMC3025LSD.pdf")</f>
        <v>https://www.diodes.com/datasheet/download/DMC3025LSD.pdf</v>
      </c>
      <c r="C98" t="str">
        <f>Hyperlink("https://www.diodes.com/part/view/DMC3025LSD","DMC3025LSD")</f>
        <v>DMC3025LSD</v>
      </c>
      <c r="D98" t="s">
        <v>420</v>
      </c>
      <c r="E98" t="s">
        <v>27</v>
      </c>
      <c r="F98" t="s">
        <v>28</v>
      </c>
      <c r="G98" t="s">
        <v>114</v>
      </c>
      <c r="H98" t="s">
        <v>30</v>
      </c>
      <c r="I98" t="s">
        <v>374</v>
      </c>
      <c r="J98" t="s">
        <v>116</v>
      </c>
      <c r="K98" t="s">
        <v>421</v>
      </c>
      <c r="M98">
        <v>1.2</v>
      </c>
      <c r="O98" t="s">
        <v>422</v>
      </c>
      <c r="P98" t="s">
        <v>423</v>
      </c>
      <c r="T98" t="s">
        <v>424</v>
      </c>
      <c r="U98" t="s">
        <v>425</v>
      </c>
      <c r="V98" t="s">
        <v>426</v>
      </c>
      <c r="W98" t="s">
        <v>427</v>
      </c>
      <c r="X98" t="s">
        <v>428</v>
      </c>
      <c r="Y98" t="s">
        <v>213</v>
      </c>
    </row>
    <row r="99" spans="1:25">
      <c r="A99" t="s">
        <v>429</v>
      </c>
      <c r="B99" s="2" t="str">
        <f>Hyperlink("https://www.diodes.com/datasheet/download/DMC3025LSDQ.pdf")</f>
        <v>https://www.diodes.com/datasheet/download/DMC3025LSDQ.pdf</v>
      </c>
      <c r="C99" t="str">
        <f>Hyperlink("https://www.diodes.com/part/view/DMC3025LSDQ","DMC3025LSDQ")</f>
        <v>DMC3025LSDQ</v>
      </c>
      <c r="D99" t="s">
        <v>420</v>
      </c>
      <c r="E99" t="s">
        <v>27</v>
      </c>
      <c r="F99" t="s">
        <v>37</v>
      </c>
      <c r="G99" t="s">
        <v>114</v>
      </c>
      <c r="H99" t="s">
        <v>30</v>
      </c>
      <c r="I99" t="s">
        <v>374</v>
      </c>
      <c r="J99" t="s">
        <v>116</v>
      </c>
      <c r="K99" t="s">
        <v>421</v>
      </c>
      <c r="M99">
        <v>1.2</v>
      </c>
      <c r="O99" t="s">
        <v>422</v>
      </c>
      <c r="P99" t="s">
        <v>423</v>
      </c>
      <c r="T99" t="s">
        <v>424</v>
      </c>
      <c r="U99" t="s">
        <v>425</v>
      </c>
      <c r="V99" t="s">
        <v>426</v>
      </c>
      <c r="W99" t="s">
        <v>427</v>
      </c>
      <c r="X99" t="s">
        <v>428</v>
      </c>
      <c r="Y99" t="s">
        <v>213</v>
      </c>
    </row>
    <row r="100" spans="1:25">
      <c r="A100" t="s">
        <v>430</v>
      </c>
      <c r="B100" s="2" t="str">
        <f>Hyperlink("https://www.diodes.com/datasheet/download/DMC3026LSD.pdf")</f>
        <v>https://www.diodes.com/datasheet/download/DMC3026LSD.pdf</v>
      </c>
      <c r="C100" t="str">
        <f>Hyperlink("https://www.diodes.com/part/view/DMC3026LSD","DMC3026LSD")</f>
        <v>DMC3026LSD</v>
      </c>
      <c r="D100" t="s">
        <v>306</v>
      </c>
      <c r="E100" t="s">
        <v>27</v>
      </c>
      <c r="F100" t="s">
        <v>28</v>
      </c>
      <c r="G100" t="s">
        <v>114</v>
      </c>
      <c r="H100" t="s">
        <v>30</v>
      </c>
      <c r="I100" t="s">
        <v>374</v>
      </c>
      <c r="J100">
        <v>20</v>
      </c>
      <c r="K100" t="s">
        <v>431</v>
      </c>
      <c r="M100">
        <v>1.6</v>
      </c>
      <c r="O100" t="s">
        <v>418</v>
      </c>
      <c r="P100" t="s">
        <v>432</v>
      </c>
      <c r="S100">
        <v>1</v>
      </c>
      <c r="T100">
        <v>3</v>
      </c>
      <c r="U100" t="s">
        <v>433</v>
      </c>
      <c r="V100">
        <v>13.2</v>
      </c>
      <c r="W100" t="s">
        <v>371</v>
      </c>
      <c r="X100">
        <v>15</v>
      </c>
      <c r="Y100" t="s">
        <v>213</v>
      </c>
    </row>
    <row r="101" spans="1:25">
      <c r="A101" t="s">
        <v>434</v>
      </c>
      <c r="B101" s="2" t="str">
        <f>Hyperlink("https://www.diodes.com/datasheet/download/DMC3028LSD.pdf")</f>
        <v>https://www.diodes.com/datasheet/download/DMC3028LSD.pdf</v>
      </c>
      <c r="C101" t="str">
        <f>Hyperlink("https://www.diodes.com/part/view/DMC3028LSD","DMC3028LSD")</f>
        <v>DMC3028LSD</v>
      </c>
      <c r="D101" t="s">
        <v>113</v>
      </c>
      <c r="E101" t="s">
        <v>27</v>
      </c>
      <c r="F101" t="s">
        <v>28</v>
      </c>
      <c r="G101" t="s">
        <v>114</v>
      </c>
      <c r="H101" t="s">
        <v>30</v>
      </c>
      <c r="I101" t="s">
        <v>374</v>
      </c>
      <c r="J101" t="s">
        <v>116</v>
      </c>
      <c r="K101" t="s">
        <v>435</v>
      </c>
      <c r="M101">
        <v>2.1</v>
      </c>
      <c r="O101" t="s">
        <v>436</v>
      </c>
      <c r="P101" t="s">
        <v>437</v>
      </c>
      <c r="T101" t="s">
        <v>219</v>
      </c>
      <c r="U101" t="s">
        <v>438</v>
      </c>
      <c r="V101" t="s">
        <v>439</v>
      </c>
      <c r="W101" t="s">
        <v>440</v>
      </c>
      <c r="X101" t="s">
        <v>357</v>
      </c>
      <c r="Y101" t="s">
        <v>213</v>
      </c>
    </row>
    <row r="102" spans="1:25">
      <c r="A102" t="s">
        <v>441</v>
      </c>
      <c r="B102" s="2" t="str">
        <f>Hyperlink("https://www.diodes.com/datasheet/download/DMC3028LSDX.pdf")</f>
        <v>https://www.diodes.com/datasheet/download/DMC3028LSDX.pdf</v>
      </c>
      <c r="C102" t="str">
        <f>Hyperlink("https://www.diodes.com/part/view/DMC3028LSDX","DMC3028LSDX")</f>
        <v>DMC3028LSDX</v>
      </c>
      <c r="D102" t="s">
        <v>113</v>
      </c>
      <c r="E102" t="s">
        <v>27</v>
      </c>
      <c r="F102" t="s">
        <v>28</v>
      </c>
      <c r="G102" t="s">
        <v>114</v>
      </c>
      <c r="H102" t="s">
        <v>30</v>
      </c>
      <c r="I102" t="s">
        <v>374</v>
      </c>
      <c r="J102" t="s">
        <v>116</v>
      </c>
      <c r="K102" t="s">
        <v>442</v>
      </c>
      <c r="M102">
        <v>1.2</v>
      </c>
      <c r="O102" t="s">
        <v>443</v>
      </c>
      <c r="P102" t="s">
        <v>444</v>
      </c>
      <c r="T102" t="s">
        <v>219</v>
      </c>
      <c r="U102" t="s">
        <v>433</v>
      </c>
      <c r="V102" t="s">
        <v>445</v>
      </c>
      <c r="W102" t="s">
        <v>446</v>
      </c>
      <c r="X102" t="s">
        <v>357</v>
      </c>
      <c r="Y102" t="s">
        <v>213</v>
      </c>
    </row>
    <row r="103" spans="1:25">
      <c r="A103" t="s">
        <v>447</v>
      </c>
      <c r="B103" s="2" t="str">
        <f>Hyperlink("https://www.diodes.com/datasheet/download/DMC3028LSDXQ.pdf")</f>
        <v>https://www.diodes.com/datasheet/download/DMC3028LSDXQ.pdf</v>
      </c>
      <c r="C103" t="str">
        <f>Hyperlink("https://www.diodes.com/part/view/DMC3028LSDXQ","DMC3028LSDXQ")</f>
        <v>DMC3028LSDXQ</v>
      </c>
      <c r="D103" t="s">
        <v>448</v>
      </c>
      <c r="E103" t="s">
        <v>27</v>
      </c>
      <c r="F103" t="s">
        <v>37</v>
      </c>
      <c r="G103" t="s">
        <v>114</v>
      </c>
      <c r="H103" t="s">
        <v>30</v>
      </c>
      <c r="I103" t="s">
        <v>374</v>
      </c>
      <c r="J103" t="s">
        <v>116</v>
      </c>
      <c r="K103" t="s">
        <v>442</v>
      </c>
      <c r="M103">
        <v>1.2</v>
      </c>
      <c r="O103" t="s">
        <v>443</v>
      </c>
      <c r="P103" t="s">
        <v>444</v>
      </c>
      <c r="T103" t="s">
        <v>219</v>
      </c>
      <c r="U103" t="s">
        <v>433</v>
      </c>
      <c r="V103" t="s">
        <v>445</v>
      </c>
      <c r="W103" t="s">
        <v>446</v>
      </c>
      <c r="X103" t="s">
        <v>357</v>
      </c>
      <c r="Y103" t="s">
        <v>213</v>
      </c>
    </row>
    <row r="104" spans="1:25">
      <c r="A104" t="s">
        <v>449</v>
      </c>
      <c r="B104" s="2" t="str">
        <f>Hyperlink("https://www.diodes.com/datasheet/download/DMC3032LFDB.pdf")</f>
        <v>https://www.diodes.com/datasheet/download/DMC3032LFDB.pdf</v>
      </c>
      <c r="C104" t="str">
        <f>Hyperlink("https://www.diodes.com/part/view/DMC3032LFDB","DMC3032LFDB")</f>
        <v>DMC3032LFDB</v>
      </c>
      <c r="D104" t="s">
        <v>113</v>
      </c>
      <c r="E104" t="s">
        <v>30</v>
      </c>
      <c r="F104" t="s">
        <v>28</v>
      </c>
      <c r="G104" t="s">
        <v>114</v>
      </c>
      <c r="H104" t="s">
        <v>30</v>
      </c>
      <c r="I104" t="s">
        <v>374</v>
      </c>
      <c r="J104" t="s">
        <v>116</v>
      </c>
      <c r="K104" t="s">
        <v>450</v>
      </c>
      <c r="M104">
        <v>1.28</v>
      </c>
      <c r="O104" t="s">
        <v>451</v>
      </c>
      <c r="P104" t="s">
        <v>452</v>
      </c>
      <c r="S104" t="s">
        <v>362</v>
      </c>
      <c r="T104" t="s">
        <v>453</v>
      </c>
      <c r="U104" t="s">
        <v>454</v>
      </c>
      <c r="V104" t="s">
        <v>455</v>
      </c>
      <c r="W104" t="s">
        <v>456</v>
      </c>
      <c r="X104" t="s">
        <v>457</v>
      </c>
      <c r="Y104" t="s">
        <v>179</v>
      </c>
    </row>
    <row r="105" spans="1:25">
      <c r="A105" t="s">
        <v>458</v>
      </c>
      <c r="B105" s="2" t="str">
        <f>Hyperlink("https://www.diodes.com/datasheet/download/DMC3032LSD.pdf")</f>
        <v>https://www.diodes.com/datasheet/download/DMC3032LSD.pdf</v>
      </c>
      <c r="C105" t="str">
        <f>Hyperlink("https://www.diodes.com/part/view/DMC3032LSD","DMC3032LSD")</f>
        <v>DMC3032LSD</v>
      </c>
      <c r="D105" t="s">
        <v>113</v>
      </c>
      <c r="E105" t="s">
        <v>27</v>
      </c>
      <c r="F105" t="s">
        <v>28</v>
      </c>
      <c r="G105" t="s">
        <v>114</v>
      </c>
      <c r="H105" t="s">
        <v>30</v>
      </c>
      <c r="I105" t="s">
        <v>374</v>
      </c>
      <c r="J105" t="s">
        <v>116</v>
      </c>
      <c r="K105" t="s">
        <v>459</v>
      </c>
      <c r="M105">
        <v>2.5</v>
      </c>
      <c r="O105" t="s">
        <v>460</v>
      </c>
      <c r="P105" t="s">
        <v>461</v>
      </c>
      <c r="T105" t="s">
        <v>406</v>
      </c>
      <c r="U105" t="s">
        <v>462</v>
      </c>
      <c r="V105" t="s">
        <v>463</v>
      </c>
      <c r="W105" t="s">
        <v>464</v>
      </c>
      <c r="X105" t="s">
        <v>357</v>
      </c>
      <c r="Y105" t="s">
        <v>213</v>
      </c>
    </row>
    <row r="106" spans="1:25">
      <c r="A106" t="s">
        <v>465</v>
      </c>
      <c r="B106" s="2" t="str">
        <f>Hyperlink("https://www.diodes.com/datasheet/download/DMC3060LVT.pdf")</f>
        <v>https://www.diodes.com/datasheet/download/DMC3060LVT.pdf</v>
      </c>
      <c r="C106" t="str">
        <f>Hyperlink("https://www.diodes.com/part/view/DMC3060LVT","DMC3060LVT")</f>
        <v>DMC3060LVT</v>
      </c>
      <c r="D106" t="s">
        <v>113</v>
      </c>
      <c r="E106" t="s">
        <v>30</v>
      </c>
      <c r="F106" t="s">
        <v>28</v>
      </c>
      <c r="G106" t="s">
        <v>114</v>
      </c>
      <c r="H106" t="s">
        <v>30</v>
      </c>
      <c r="I106" t="s">
        <v>374</v>
      </c>
      <c r="J106" t="s">
        <v>185</v>
      </c>
      <c r="K106" t="s">
        <v>466</v>
      </c>
      <c r="M106">
        <v>1.16</v>
      </c>
      <c r="O106" t="s">
        <v>467</v>
      </c>
      <c r="P106" t="s">
        <v>468</v>
      </c>
      <c r="T106" t="s">
        <v>469</v>
      </c>
      <c r="U106" t="s">
        <v>470</v>
      </c>
      <c r="V106" t="s">
        <v>471</v>
      </c>
      <c r="W106" t="s">
        <v>472</v>
      </c>
      <c r="X106" t="s">
        <v>357</v>
      </c>
      <c r="Y106" t="s">
        <v>183</v>
      </c>
    </row>
    <row r="107" spans="1:25">
      <c r="A107" t="s">
        <v>473</v>
      </c>
      <c r="B107" s="2" t="str">
        <f>Hyperlink("https://www.diodes.com/datasheet/download/DMC3060LVTQ.pdf")</f>
        <v>https://www.diodes.com/datasheet/download/DMC3060LVTQ.pdf</v>
      </c>
      <c r="C107" t="str">
        <f>Hyperlink("https://www.diodes.com/part/view/DMC3060LVTQ","DMC3060LVTQ")</f>
        <v>DMC3060LVTQ</v>
      </c>
      <c r="D107" t="s">
        <v>113</v>
      </c>
      <c r="E107" t="s">
        <v>27</v>
      </c>
      <c r="F107" t="s">
        <v>37</v>
      </c>
      <c r="G107" t="s">
        <v>114</v>
      </c>
      <c r="H107" t="s">
        <v>30</v>
      </c>
      <c r="I107" t="s">
        <v>374</v>
      </c>
      <c r="J107" t="s">
        <v>185</v>
      </c>
      <c r="K107" t="s">
        <v>466</v>
      </c>
      <c r="M107">
        <v>1.16</v>
      </c>
      <c r="O107" t="s">
        <v>467</v>
      </c>
      <c r="P107" t="s">
        <v>474</v>
      </c>
      <c r="T107" t="s">
        <v>469</v>
      </c>
      <c r="U107" t="s">
        <v>470</v>
      </c>
      <c r="V107" t="s">
        <v>471</v>
      </c>
      <c r="W107" t="s">
        <v>472</v>
      </c>
      <c r="X107" t="s">
        <v>357</v>
      </c>
      <c r="Y107" t="s">
        <v>183</v>
      </c>
    </row>
    <row r="108" spans="1:25">
      <c r="A108" t="s">
        <v>475</v>
      </c>
      <c r="B108" s="2" t="str">
        <f>Hyperlink("https://www.diodes.com/datasheet/download/DMC3061SVTQ.pdf")</f>
        <v>https://www.diodes.com/datasheet/download/DMC3061SVTQ.pdf</v>
      </c>
      <c r="C108" t="str">
        <f>Hyperlink("https://www.diodes.com/part/view/DMC3061SVTQ","DMC3061SVTQ")</f>
        <v>DMC3061SVTQ</v>
      </c>
      <c r="D108" t="s">
        <v>113</v>
      </c>
      <c r="E108" t="s">
        <v>27</v>
      </c>
      <c r="F108" t="s">
        <v>37</v>
      </c>
      <c r="G108" t="s">
        <v>114</v>
      </c>
      <c r="H108" t="s">
        <v>30</v>
      </c>
      <c r="I108" t="s">
        <v>374</v>
      </c>
      <c r="J108" t="s">
        <v>116</v>
      </c>
      <c r="K108" t="s">
        <v>476</v>
      </c>
      <c r="M108">
        <v>1.08</v>
      </c>
      <c r="O108" t="s">
        <v>467</v>
      </c>
      <c r="P108" t="s">
        <v>468</v>
      </c>
      <c r="T108" t="s">
        <v>477</v>
      </c>
      <c r="U108" t="s">
        <v>478</v>
      </c>
      <c r="V108" t="s">
        <v>479</v>
      </c>
      <c r="W108" t="s">
        <v>480</v>
      </c>
      <c r="X108" t="s">
        <v>357</v>
      </c>
      <c r="Y108" t="s">
        <v>183</v>
      </c>
    </row>
    <row r="109" spans="1:25">
      <c r="A109" t="s">
        <v>481</v>
      </c>
      <c r="B109" s="2" t="str">
        <f>Hyperlink("https://www.diodes.com/datasheet/download/DMC3071LVT.pdf")</f>
        <v>https://www.diodes.com/datasheet/download/DMC3071LVT.pdf</v>
      </c>
      <c r="C109" t="str">
        <f>Hyperlink("https://www.diodes.com/part/view/DMC3071LVT","DMC3071LVT")</f>
        <v>DMC3071LVT</v>
      </c>
      <c r="D109" t="s">
        <v>113</v>
      </c>
      <c r="E109" t="s">
        <v>30</v>
      </c>
      <c r="F109" t="s">
        <v>28</v>
      </c>
      <c r="G109" t="s">
        <v>114</v>
      </c>
      <c r="H109" t="s">
        <v>30</v>
      </c>
      <c r="I109" t="s">
        <v>374</v>
      </c>
      <c r="J109" t="s">
        <v>116</v>
      </c>
      <c r="K109" t="s">
        <v>482</v>
      </c>
      <c r="M109">
        <v>1.1</v>
      </c>
      <c r="O109" t="s">
        <v>483</v>
      </c>
      <c r="P109" t="s">
        <v>484</v>
      </c>
      <c r="T109" t="s">
        <v>485</v>
      </c>
      <c r="U109" t="s">
        <v>486</v>
      </c>
      <c r="V109" t="s">
        <v>487</v>
      </c>
      <c r="W109" t="s">
        <v>488</v>
      </c>
      <c r="X109" t="s">
        <v>357</v>
      </c>
      <c r="Y109" t="s">
        <v>183</v>
      </c>
    </row>
    <row r="110" spans="1:25">
      <c r="A110" t="s">
        <v>489</v>
      </c>
      <c r="B110" s="2" t="str">
        <f>Hyperlink("https://www.diodes.com/datasheet/download/DMC31D5UDA.pdf")</f>
        <v>https://www.diodes.com/datasheet/download/DMC31D5UDA.pdf</v>
      </c>
      <c r="C110" t="str">
        <f>Hyperlink("https://www.diodes.com/part/view/DMC31D5UDA","DMC31D5UDA")</f>
        <v>DMC31D5UDA</v>
      </c>
      <c r="D110" t="s">
        <v>113</v>
      </c>
      <c r="E110" t="s">
        <v>30</v>
      </c>
      <c r="F110" t="s">
        <v>28</v>
      </c>
      <c r="G110" t="s">
        <v>114</v>
      </c>
      <c r="H110" t="s">
        <v>27</v>
      </c>
      <c r="I110" t="s">
        <v>374</v>
      </c>
      <c r="J110" t="s">
        <v>185</v>
      </c>
      <c r="K110" t="s">
        <v>490</v>
      </c>
      <c r="M110">
        <v>0.37</v>
      </c>
      <c r="P110" t="s">
        <v>491</v>
      </c>
      <c r="Q110" t="s">
        <v>492</v>
      </c>
      <c r="R110" t="s">
        <v>493</v>
      </c>
      <c r="S110" t="s">
        <v>174</v>
      </c>
      <c r="T110" t="s">
        <v>175</v>
      </c>
      <c r="U110" t="s">
        <v>494</v>
      </c>
      <c r="W110" t="s">
        <v>495</v>
      </c>
      <c r="X110" t="s">
        <v>357</v>
      </c>
      <c r="Y110" t="s">
        <v>298</v>
      </c>
    </row>
    <row r="111" spans="1:25">
      <c r="A111" t="s">
        <v>496</v>
      </c>
      <c r="B111" s="2" t="str">
        <f>Hyperlink("https://www.diodes.com/datasheet/download/DMC31D5UDAQ.pdf")</f>
        <v>https://www.diodes.com/datasheet/download/DMC31D5UDAQ.pdf</v>
      </c>
      <c r="C111" t="str">
        <f>Hyperlink("https://www.diodes.com/part/view/DMC31D5UDAQ","DMC31D5UDAQ")</f>
        <v>DMC31D5UDAQ</v>
      </c>
      <c r="D111" t="s">
        <v>113</v>
      </c>
      <c r="E111" t="s">
        <v>27</v>
      </c>
      <c r="F111" t="s">
        <v>37</v>
      </c>
      <c r="G111" t="s">
        <v>114</v>
      </c>
      <c r="H111" t="s">
        <v>27</v>
      </c>
      <c r="I111" t="s">
        <v>374</v>
      </c>
      <c r="J111" t="s">
        <v>497</v>
      </c>
      <c r="K111" t="s">
        <v>490</v>
      </c>
      <c r="M111">
        <v>0.37</v>
      </c>
      <c r="P111" t="s">
        <v>491</v>
      </c>
      <c r="Q111" t="s">
        <v>492</v>
      </c>
      <c r="R111" t="s">
        <v>493</v>
      </c>
      <c r="S111" t="s">
        <v>174</v>
      </c>
      <c r="T111" t="s">
        <v>498</v>
      </c>
      <c r="U111" t="s">
        <v>494</v>
      </c>
      <c r="W111" t="s">
        <v>495</v>
      </c>
      <c r="X111" t="s">
        <v>499</v>
      </c>
      <c r="Y111" t="s">
        <v>298</v>
      </c>
    </row>
    <row r="112" spans="1:25">
      <c r="A112" t="s">
        <v>500</v>
      </c>
      <c r="B112" s="2" t="str">
        <f>Hyperlink("https://www.diodes.com/datasheet/download/DMC31D5UDJ.pdf")</f>
        <v>https://www.diodes.com/datasheet/download/DMC31D5UDJ.pdf</v>
      </c>
      <c r="C112" t="str">
        <f>Hyperlink("https://www.diodes.com/part/view/DMC31D5UDJ","DMC31D5UDJ")</f>
        <v>DMC31D5UDJ</v>
      </c>
      <c r="D112" t="s">
        <v>113</v>
      </c>
      <c r="E112" t="s">
        <v>27</v>
      </c>
      <c r="F112" t="s">
        <v>28</v>
      </c>
      <c r="G112" t="s">
        <v>114</v>
      </c>
      <c r="H112" t="s">
        <v>27</v>
      </c>
      <c r="I112" t="s">
        <v>374</v>
      </c>
      <c r="J112" t="s">
        <v>185</v>
      </c>
      <c r="K112" t="s">
        <v>501</v>
      </c>
      <c r="M112">
        <v>0.35</v>
      </c>
      <c r="P112" t="s">
        <v>502</v>
      </c>
      <c r="Q112" t="s">
        <v>492</v>
      </c>
      <c r="R112" t="s">
        <v>493</v>
      </c>
      <c r="T112" t="s">
        <v>175</v>
      </c>
      <c r="U112" t="s">
        <v>494</v>
      </c>
      <c r="W112" t="s">
        <v>495</v>
      </c>
      <c r="X112" t="s">
        <v>357</v>
      </c>
      <c r="Y112" t="s">
        <v>358</v>
      </c>
    </row>
    <row r="113" spans="1:25">
      <c r="A113" t="s">
        <v>503</v>
      </c>
      <c r="B113" s="2" t="str">
        <f>Hyperlink("https://www.diodes.com/datasheet/download/DMC3350LDW.pdf")</f>
        <v>https://www.diodes.com/datasheet/download/DMC3350LDW.pdf</v>
      </c>
      <c r="C113" t="str">
        <f>Hyperlink("https://www.diodes.com/part/view/DMC3350LDW","DMC3350LDW")</f>
        <v>DMC3350LDW</v>
      </c>
      <c r="D113" t="s">
        <v>306</v>
      </c>
      <c r="E113" t="s">
        <v>30</v>
      </c>
      <c r="F113" t="s">
        <v>28</v>
      </c>
      <c r="G113" t="s">
        <v>114</v>
      </c>
      <c r="H113" t="s">
        <v>27</v>
      </c>
      <c r="I113">
        <v>30</v>
      </c>
      <c r="J113">
        <v>20</v>
      </c>
      <c r="K113" t="s">
        <v>504</v>
      </c>
      <c r="M113">
        <v>0.49</v>
      </c>
      <c r="O113" t="s">
        <v>505</v>
      </c>
      <c r="P113" t="s">
        <v>506</v>
      </c>
      <c r="S113" t="s">
        <v>507</v>
      </c>
      <c r="T113" t="s">
        <v>508</v>
      </c>
      <c r="U113" t="s">
        <v>509</v>
      </c>
      <c r="W113" t="s">
        <v>510</v>
      </c>
      <c r="X113" t="s">
        <v>357</v>
      </c>
      <c r="Y113" t="s">
        <v>42</v>
      </c>
    </row>
    <row r="114" spans="1:25">
      <c r="A114" t="s">
        <v>511</v>
      </c>
      <c r="B114" s="2" t="str">
        <f>Hyperlink("https://www.diodes.com/datasheet/download/DMC3350LDWQ.pdf")</f>
        <v>https://www.diodes.com/datasheet/download/DMC3350LDWQ.pdf</v>
      </c>
      <c r="C114" t="str">
        <f>Hyperlink("https://www.diodes.com/part/view/DMC3350LDWQ","DMC3350LDWQ")</f>
        <v>DMC3350LDWQ</v>
      </c>
      <c r="D114" t="s">
        <v>306</v>
      </c>
      <c r="E114" t="s">
        <v>27</v>
      </c>
      <c r="F114" t="s">
        <v>37</v>
      </c>
      <c r="G114" t="s">
        <v>114</v>
      </c>
      <c r="H114" t="s">
        <v>27</v>
      </c>
      <c r="I114">
        <v>30</v>
      </c>
      <c r="J114">
        <v>20</v>
      </c>
      <c r="K114" t="s">
        <v>504</v>
      </c>
      <c r="M114">
        <v>0.49</v>
      </c>
      <c r="O114" t="s">
        <v>505</v>
      </c>
      <c r="P114" t="s">
        <v>506</v>
      </c>
      <c r="S114" t="s">
        <v>507</v>
      </c>
      <c r="T114" t="s">
        <v>508</v>
      </c>
      <c r="U114" t="s">
        <v>509</v>
      </c>
      <c r="W114" t="s">
        <v>510</v>
      </c>
      <c r="X114" t="s">
        <v>357</v>
      </c>
      <c r="Y114" t="s">
        <v>42</v>
      </c>
    </row>
    <row r="115" spans="1:25">
      <c r="A115" t="s">
        <v>512</v>
      </c>
      <c r="B115" s="2" t="str">
        <f>Hyperlink("https://www.diodes.com/datasheet/download/DMC3400SDW.pdf")</f>
        <v>https://www.diodes.com/datasheet/download/DMC3400SDW.pdf</v>
      </c>
      <c r="C115" t="str">
        <f>Hyperlink("https://www.diodes.com/part/view/DMC3400SDW","DMC3400SDW")</f>
        <v>DMC3400SDW</v>
      </c>
      <c r="D115" t="s">
        <v>113</v>
      </c>
      <c r="E115" t="s">
        <v>30</v>
      </c>
      <c r="F115" t="s">
        <v>28</v>
      </c>
      <c r="G115" t="s">
        <v>114</v>
      </c>
      <c r="H115" t="s">
        <v>27</v>
      </c>
      <c r="I115" t="s">
        <v>374</v>
      </c>
      <c r="J115" t="s">
        <v>116</v>
      </c>
      <c r="K115" t="s">
        <v>513</v>
      </c>
      <c r="M115">
        <v>0.39</v>
      </c>
      <c r="O115" t="s">
        <v>505</v>
      </c>
      <c r="P115" t="s">
        <v>506</v>
      </c>
      <c r="T115" t="s">
        <v>508</v>
      </c>
      <c r="U115" t="s">
        <v>139</v>
      </c>
      <c r="V115" t="s">
        <v>514</v>
      </c>
      <c r="W115" t="s">
        <v>515</v>
      </c>
      <c r="X115" t="s">
        <v>357</v>
      </c>
      <c r="Y115" t="s">
        <v>42</v>
      </c>
    </row>
    <row r="116" spans="1:25">
      <c r="A116" t="s">
        <v>516</v>
      </c>
      <c r="B116" s="2" t="str">
        <f>Hyperlink("https://www.diodes.com/datasheet/download/DMC3401LDW.pdf")</f>
        <v>https://www.diodes.com/datasheet/download/DMC3401LDW.pdf</v>
      </c>
      <c r="C116" t="str">
        <f>Hyperlink("https://www.diodes.com/part/view/DMC3401LDW","DMC3401LDW")</f>
        <v>DMC3401LDW</v>
      </c>
      <c r="D116" t="s">
        <v>113</v>
      </c>
      <c r="E116" t="s">
        <v>30</v>
      </c>
      <c r="F116" t="s">
        <v>28</v>
      </c>
      <c r="G116" t="s">
        <v>114</v>
      </c>
      <c r="H116" t="s">
        <v>27</v>
      </c>
      <c r="I116" t="s">
        <v>374</v>
      </c>
      <c r="J116" t="s">
        <v>116</v>
      </c>
      <c r="K116" t="s">
        <v>517</v>
      </c>
      <c r="M116">
        <v>0.4</v>
      </c>
      <c r="O116" t="s">
        <v>505</v>
      </c>
      <c r="P116" t="s">
        <v>506</v>
      </c>
      <c r="T116" t="s">
        <v>508</v>
      </c>
      <c r="U116" t="s">
        <v>367</v>
      </c>
      <c r="V116" t="s">
        <v>518</v>
      </c>
      <c r="W116" t="s">
        <v>519</v>
      </c>
      <c r="X116" t="s">
        <v>357</v>
      </c>
      <c r="Y116" t="s">
        <v>42</v>
      </c>
    </row>
    <row r="117" spans="1:25">
      <c r="A117" t="s">
        <v>520</v>
      </c>
      <c r="B117" s="2" t="str">
        <f>Hyperlink("https://www.diodes.com/datasheet/download/DMC3730UFL3.pdf")</f>
        <v>https://www.diodes.com/datasheet/download/DMC3730UFL3.pdf</v>
      </c>
      <c r="C117" t="str">
        <f>Hyperlink("https://www.diodes.com/part/view/DMC3730UFL3","DMC3730UFL3")</f>
        <v>DMC3730UFL3</v>
      </c>
      <c r="D117" t="s">
        <v>113</v>
      </c>
      <c r="E117" t="s">
        <v>27</v>
      </c>
      <c r="F117" t="s">
        <v>28</v>
      </c>
      <c r="G117" t="s">
        <v>114</v>
      </c>
      <c r="H117" t="s">
        <v>27</v>
      </c>
      <c r="I117" t="s">
        <v>374</v>
      </c>
      <c r="J117" t="s">
        <v>135</v>
      </c>
      <c r="K117" t="s">
        <v>521</v>
      </c>
      <c r="M117">
        <v>0.81</v>
      </c>
      <c r="P117" t="s">
        <v>522</v>
      </c>
      <c r="Q117" t="s">
        <v>523</v>
      </c>
      <c r="R117" t="s">
        <v>524</v>
      </c>
      <c r="T117" t="s">
        <v>525</v>
      </c>
      <c r="U117" t="s">
        <v>526</v>
      </c>
      <c r="W117" t="s">
        <v>527</v>
      </c>
      <c r="X117" t="s">
        <v>313</v>
      </c>
      <c r="Y117" t="s">
        <v>528</v>
      </c>
    </row>
    <row r="118" spans="1:25">
      <c r="A118" t="s">
        <v>529</v>
      </c>
      <c r="B118" s="2" t="str">
        <f>Hyperlink("https://www.diodes.com/datasheet/download/DMC3730UVT.pdf")</f>
        <v>https://www.diodes.com/datasheet/download/DMC3730UVT.pdf</v>
      </c>
      <c r="C118" t="str">
        <f>Hyperlink("https://www.diodes.com/part/view/DMC3730UVT","DMC3730UVT")</f>
        <v>DMC3730UVT</v>
      </c>
      <c r="D118" t="s">
        <v>113</v>
      </c>
      <c r="E118" t="s">
        <v>30</v>
      </c>
      <c r="F118" t="s">
        <v>28</v>
      </c>
      <c r="G118" t="s">
        <v>114</v>
      </c>
      <c r="H118" t="s">
        <v>27</v>
      </c>
      <c r="I118" t="s">
        <v>148</v>
      </c>
      <c r="J118" t="s">
        <v>135</v>
      </c>
      <c r="K118" t="s">
        <v>530</v>
      </c>
      <c r="M118">
        <v>0.9</v>
      </c>
      <c r="P118" t="s">
        <v>531</v>
      </c>
      <c r="Q118" t="s">
        <v>532</v>
      </c>
      <c r="R118" t="s">
        <v>533</v>
      </c>
      <c r="S118" t="s">
        <v>534</v>
      </c>
      <c r="T118" t="s">
        <v>535</v>
      </c>
      <c r="U118" t="s">
        <v>536</v>
      </c>
      <c r="W118" t="s">
        <v>537</v>
      </c>
      <c r="X118" t="s">
        <v>238</v>
      </c>
      <c r="Y118" t="s">
        <v>183</v>
      </c>
    </row>
    <row r="119" spans="1:25">
      <c r="A119" t="s">
        <v>538</v>
      </c>
      <c r="B119" s="2" t="str">
        <f>Hyperlink("https://www.diodes.com/datasheet/download/DMC3732UVT.pdf")</f>
        <v>https://www.diodes.com/datasheet/download/DMC3732UVT.pdf</v>
      </c>
      <c r="C119" t="str">
        <f>Hyperlink("https://www.diodes.com/part/view/DMC3732UVT","DMC3732UVT")</f>
        <v>DMC3732UVT</v>
      </c>
      <c r="D119" t="s">
        <v>306</v>
      </c>
      <c r="E119" t="s">
        <v>30</v>
      </c>
      <c r="F119" t="s">
        <v>28</v>
      </c>
      <c r="G119" t="s">
        <v>114</v>
      </c>
      <c r="H119" t="s">
        <v>30</v>
      </c>
      <c r="I119">
        <v>30</v>
      </c>
      <c r="J119">
        <v>8</v>
      </c>
      <c r="K119" t="s">
        <v>521</v>
      </c>
      <c r="M119">
        <v>0.83</v>
      </c>
      <c r="P119" t="s">
        <v>522</v>
      </c>
      <c r="Q119" t="s">
        <v>523</v>
      </c>
      <c r="R119" t="s">
        <v>524</v>
      </c>
      <c r="S119" t="s">
        <v>534</v>
      </c>
      <c r="T119" t="s">
        <v>525</v>
      </c>
      <c r="U119" t="s">
        <v>309</v>
      </c>
      <c r="W119" t="s">
        <v>539</v>
      </c>
      <c r="X119" t="s">
        <v>540</v>
      </c>
      <c r="Y119" t="s">
        <v>183</v>
      </c>
    </row>
    <row r="120" spans="1:25">
      <c r="A120" t="s">
        <v>541</v>
      </c>
      <c r="B120" s="2" t="str">
        <f>Hyperlink("https://www.diodes.com/datasheet/download/DMC3732UVTQ.pdf")</f>
        <v>https://www.diodes.com/datasheet/download/DMC3732UVTQ.pdf</v>
      </c>
      <c r="C120" t="str">
        <f>Hyperlink("https://www.diodes.com/part/view/DMC3732UVTQ","DMC3732UVTQ")</f>
        <v>DMC3732UVTQ</v>
      </c>
      <c r="D120" t="s">
        <v>306</v>
      </c>
      <c r="E120" t="s">
        <v>27</v>
      </c>
      <c r="F120" t="s">
        <v>37</v>
      </c>
      <c r="G120" t="s">
        <v>114</v>
      </c>
      <c r="H120" t="s">
        <v>30</v>
      </c>
      <c r="I120">
        <v>30</v>
      </c>
      <c r="J120">
        <v>8</v>
      </c>
      <c r="K120" t="s">
        <v>521</v>
      </c>
      <c r="M120">
        <v>0.83</v>
      </c>
      <c r="P120" t="s">
        <v>522</v>
      </c>
      <c r="Q120" t="s">
        <v>523</v>
      </c>
      <c r="R120" t="s">
        <v>524</v>
      </c>
      <c r="S120" t="s">
        <v>534</v>
      </c>
      <c r="T120" t="s">
        <v>525</v>
      </c>
      <c r="U120" t="s">
        <v>309</v>
      </c>
      <c r="W120" t="s">
        <v>539</v>
      </c>
      <c r="X120" t="s">
        <v>540</v>
      </c>
      <c r="Y120" t="s">
        <v>183</v>
      </c>
    </row>
    <row r="121" spans="1:25">
      <c r="A121" t="s">
        <v>542</v>
      </c>
      <c r="B121" s="2" t="str">
        <f>Hyperlink("https://www.diodes.com/datasheet/download/DMC4015SSD.pdf")</f>
        <v>https://www.diodes.com/datasheet/download/DMC4015SSD.pdf</v>
      </c>
      <c r="C121" t="str">
        <f>Hyperlink("https://www.diodes.com/part/view/DMC4015SSD","DMC4015SSD")</f>
        <v>DMC4015SSD</v>
      </c>
      <c r="D121" t="s">
        <v>113</v>
      </c>
      <c r="E121" t="s">
        <v>27</v>
      </c>
      <c r="F121" t="s">
        <v>28</v>
      </c>
      <c r="G121" t="s">
        <v>114</v>
      </c>
      <c r="H121" t="s">
        <v>30</v>
      </c>
      <c r="I121" t="s">
        <v>543</v>
      </c>
      <c r="J121" t="s">
        <v>116</v>
      </c>
      <c r="K121" t="s">
        <v>544</v>
      </c>
      <c r="M121">
        <v>1.7</v>
      </c>
      <c r="O121" t="s">
        <v>545</v>
      </c>
      <c r="P121" t="s">
        <v>422</v>
      </c>
      <c r="T121" t="s">
        <v>219</v>
      </c>
      <c r="U121" t="s">
        <v>546</v>
      </c>
      <c r="V121" t="s">
        <v>547</v>
      </c>
      <c r="W121" t="s">
        <v>548</v>
      </c>
      <c r="X121" t="s">
        <v>116</v>
      </c>
      <c r="Y121" t="s">
        <v>213</v>
      </c>
    </row>
    <row r="122" spans="1:25">
      <c r="A122" t="s">
        <v>549</v>
      </c>
      <c r="B122" s="2" t="str">
        <f>Hyperlink("https://www.diodes.com/datasheet/download/DMC4028SSD.pdf")</f>
        <v>https://www.diodes.com/datasheet/download/DMC4028SSD.pdf</v>
      </c>
      <c r="C122" t="str">
        <f>Hyperlink("https://www.diodes.com/part/view/DMC4028SSD","DMC4028SSD")</f>
        <v>DMC4028SSD</v>
      </c>
      <c r="D122" t="s">
        <v>113</v>
      </c>
      <c r="E122" t="s">
        <v>27</v>
      </c>
      <c r="F122" t="s">
        <v>28</v>
      </c>
      <c r="G122" t="s">
        <v>114</v>
      </c>
      <c r="H122" t="s">
        <v>30</v>
      </c>
      <c r="I122" t="s">
        <v>543</v>
      </c>
      <c r="J122" t="s">
        <v>116</v>
      </c>
      <c r="K122" t="s">
        <v>550</v>
      </c>
      <c r="M122">
        <v>1.8</v>
      </c>
      <c r="O122" t="s">
        <v>551</v>
      </c>
      <c r="P122" t="s">
        <v>552</v>
      </c>
      <c r="T122" t="s">
        <v>219</v>
      </c>
      <c r="U122" t="s">
        <v>553</v>
      </c>
      <c r="V122" t="s">
        <v>554</v>
      </c>
      <c r="W122" t="s">
        <v>555</v>
      </c>
      <c r="X122" t="s">
        <v>116</v>
      </c>
      <c r="Y122" t="s">
        <v>213</v>
      </c>
    </row>
    <row r="123" spans="1:25">
      <c r="A123" t="s">
        <v>556</v>
      </c>
      <c r="B123" s="2" t="str">
        <f>Hyperlink("https://www.diodes.com/datasheet/download/DMC4029SK4.pdf")</f>
        <v>https://www.diodes.com/datasheet/download/DMC4029SK4.pdf</v>
      </c>
      <c r="C123" t="str">
        <f>Hyperlink("https://www.diodes.com/part/view/DMC4029SK4","DMC4029SK4")</f>
        <v>DMC4029SK4</v>
      </c>
      <c r="D123" t="s">
        <v>113</v>
      </c>
      <c r="E123" t="s">
        <v>30</v>
      </c>
      <c r="F123" t="s">
        <v>28</v>
      </c>
      <c r="G123" t="s">
        <v>114</v>
      </c>
      <c r="H123" t="s">
        <v>30</v>
      </c>
      <c r="I123" t="s">
        <v>543</v>
      </c>
      <c r="J123" t="s">
        <v>116</v>
      </c>
      <c r="K123" t="s">
        <v>557</v>
      </c>
      <c r="M123">
        <v>2.9</v>
      </c>
      <c r="O123" t="s">
        <v>558</v>
      </c>
      <c r="P123" t="s">
        <v>559</v>
      </c>
      <c r="T123" t="s">
        <v>219</v>
      </c>
      <c r="U123" t="s">
        <v>560</v>
      </c>
      <c r="V123" t="s">
        <v>561</v>
      </c>
      <c r="W123" t="s">
        <v>562</v>
      </c>
      <c r="X123" t="s">
        <v>116</v>
      </c>
      <c r="Y123" t="s">
        <v>563</v>
      </c>
    </row>
    <row r="124" spans="1:25">
      <c r="A124" t="s">
        <v>564</v>
      </c>
      <c r="B124" s="2" t="str">
        <f>Hyperlink("https://www.diodes.com/datasheet/download/DMC4029SSD.pdf")</f>
        <v>https://www.diodes.com/datasheet/download/DMC4029SSD.pdf</v>
      </c>
      <c r="C124" t="str">
        <f>Hyperlink("https://www.diodes.com/part/view/DMC4029SSD","DMC4029SSD")</f>
        <v>DMC4029SSD</v>
      </c>
      <c r="D124" t="s">
        <v>113</v>
      </c>
      <c r="E124" t="s">
        <v>27</v>
      </c>
      <c r="F124" t="s">
        <v>28</v>
      </c>
      <c r="G124" t="s">
        <v>114</v>
      </c>
      <c r="H124" t="s">
        <v>30</v>
      </c>
      <c r="I124" t="s">
        <v>543</v>
      </c>
      <c r="J124" t="s">
        <v>116</v>
      </c>
      <c r="K124" t="s">
        <v>565</v>
      </c>
      <c r="M124">
        <v>1.8</v>
      </c>
      <c r="O124" t="s">
        <v>558</v>
      </c>
      <c r="P124" t="s">
        <v>559</v>
      </c>
      <c r="T124" t="s">
        <v>219</v>
      </c>
      <c r="U124" t="s">
        <v>560</v>
      </c>
      <c r="V124" t="s">
        <v>561</v>
      </c>
      <c r="W124" t="s">
        <v>562</v>
      </c>
      <c r="X124" t="s">
        <v>116</v>
      </c>
      <c r="Y124" t="s">
        <v>213</v>
      </c>
    </row>
    <row r="125" spans="1:25">
      <c r="A125" t="s">
        <v>566</v>
      </c>
      <c r="B125" s="2" t="str">
        <f>Hyperlink("https://www.diodes.com/datasheet/download/DMC4040SSDQ.pdf")</f>
        <v>https://www.diodes.com/datasheet/download/DMC4040SSDQ.pdf</v>
      </c>
      <c r="C125" t="str">
        <f>Hyperlink("https://www.diodes.com/part/view/DMC4040SSDQ","DMC4040SSDQ")</f>
        <v>DMC4040SSDQ</v>
      </c>
      <c r="D125" t="s">
        <v>113</v>
      </c>
      <c r="E125" t="s">
        <v>27</v>
      </c>
      <c r="F125" t="s">
        <v>37</v>
      </c>
      <c r="G125" t="s">
        <v>114</v>
      </c>
      <c r="H125" t="s">
        <v>30</v>
      </c>
      <c r="I125" t="s">
        <v>543</v>
      </c>
      <c r="J125" t="s">
        <v>116</v>
      </c>
      <c r="K125" t="s">
        <v>567</v>
      </c>
      <c r="M125">
        <v>1.8</v>
      </c>
      <c r="O125" t="s">
        <v>148</v>
      </c>
      <c r="P125" t="s">
        <v>568</v>
      </c>
      <c r="T125" t="s">
        <v>569</v>
      </c>
      <c r="U125" t="s">
        <v>570</v>
      </c>
      <c r="V125" t="s">
        <v>571</v>
      </c>
      <c r="W125" t="s">
        <v>572</v>
      </c>
      <c r="X125" t="s">
        <v>116</v>
      </c>
      <c r="Y125" t="s">
        <v>213</v>
      </c>
    </row>
    <row r="126" spans="1:25">
      <c r="A126" t="s">
        <v>573</v>
      </c>
      <c r="B126" s="2" t="str">
        <f>Hyperlink("https://www.diodes.com/datasheet/download/DMC4047LSD.pdf")</f>
        <v>https://www.diodes.com/datasheet/download/DMC4047LSD.pdf</v>
      </c>
      <c r="C126" t="str">
        <f>Hyperlink("https://www.diodes.com/part/view/DMC4047LSD","DMC4047LSD")</f>
        <v>DMC4047LSD</v>
      </c>
      <c r="D126" t="s">
        <v>113</v>
      </c>
      <c r="E126" t="s">
        <v>27</v>
      </c>
      <c r="F126" t="s">
        <v>28</v>
      </c>
      <c r="G126" t="s">
        <v>114</v>
      </c>
      <c r="H126" t="s">
        <v>30</v>
      </c>
      <c r="I126" t="s">
        <v>543</v>
      </c>
      <c r="J126" t="s">
        <v>116</v>
      </c>
      <c r="K126" t="s">
        <v>574</v>
      </c>
      <c r="M126">
        <v>1.8</v>
      </c>
      <c r="O126" t="s">
        <v>558</v>
      </c>
      <c r="P126" t="s">
        <v>559</v>
      </c>
      <c r="T126" t="s">
        <v>575</v>
      </c>
      <c r="U126" t="s">
        <v>560</v>
      </c>
      <c r="V126" t="s">
        <v>561</v>
      </c>
      <c r="W126" t="s">
        <v>562</v>
      </c>
      <c r="X126" t="s">
        <v>116</v>
      </c>
      <c r="Y126" t="s">
        <v>213</v>
      </c>
    </row>
    <row r="127" spans="1:25">
      <c r="A127" t="s">
        <v>576</v>
      </c>
      <c r="B127" s="2" t="str">
        <f>Hyperlink("https://www.diodes.com/datasheet/download/DMC4050SSDQ.pdf")</f>
        <v>https://www.diodes.com/datasheet/download/DMC4050SSDQ.pdf</v>
      </c>
      <c r="C127" t="str">
        <f>Hyperlink("https://www.diodes.com/part/view/DMC4050SSDQ","DMC4050SSDQ")</f>
        <v>DMC4050SSDQ</v>
      </c>
      <c r="D127" t="s">
        <v>577</v>
      </c>
      <c r="E127" t="s">
        <v>27</v>
      </c>
      <c r="F127" t="s">
        <v>37</v>
      </c>
      <c r="G127" t="s">
        <v>114</v>
      </c>
      <c r="H127" t="s">
        <v>30</v>
      </c>
      <c r="I127" t="s">
        <v>543</v>
      </c>
      <c r="J127" t="s">
        <v>116</v>
      </c>
      <c r="K127" t="s">
        <v>578</v>
      </c>
      <c r="M127">
        <v>1.8</v>
      </c>
      <c r="O127" t="s">
        <v>579</v>
      </c>
      <c r="P127" t="s">
        <v>580</v>
      </c>
      <c r="T127" t="s">
        <v>569</v>
      </c>
      <c r="V127" t="s">
        <v>571</v>
      </c>
      <c r="W127" t="s">
        <v>572</v>
      </c>
      <c r="X127" t="s">
        <v>116</v>
      </c>
      <c r="Y127" t="s">
        <v>213</v>
      </c>
    </row>
    <row r="128" spans="1:25">
      <c r="A128" t="s">
        <v>581</v>
      </c>
      <c r="B128" s="2" t="str">
        <f>Hyperlink("https://www.diodes.com/datasheet/download/DMC6022SSD.pdf")</f>
        <v>https://www.diodes.com/datasheet/download/DMC6022SSD.pdf</v>
      </c>
      <c r="C128" t="str">
        <f>Hyperlink("https://www.diodes.com/part/view/DMC6022SSD","DMC6022SSD")</f>
        <v>DMC6022SSD</v>
      </c>
      <c r="D128" t="s">
        <v>113</v>
      </c>
      <c r="E128" t="s">
        <v>30</v>
      </c>
      <c r="F128" t="s">
        <v>28</v>
      </c>
      <c r="G128" t="s">
        <v>114</v>
      </c>
      <c r="H128" t="s">
        <v>30</v>
      </c>
      <c r="I128" t="s">
        <v>582</v>
      </c>
      <c r="J128" t="s">
        <v>203</v>
      </c>
      <c r="K128" t="s">
        <v>583</v>
      </c>
      <c r="M128">
        <v>2.0</v>
      </c>
      <c r="O128" t="s">
        <v>205</v>
      </c>
      <c r="P128" t="s">
        <v>584</v>
      </c>
      <c r="S128" t="s">
        <v>207</v>
      </c>
      <c r="T128" t="s">
        <v>208</v>
      </c>
      <c r="U128" t="s">
        <v>585</v>
      </c>
      <c r="V128" t="s">
        <v>586</v>
      </c>
      <c r="W128" t="s">
        <v>587</v>
      </c>
      <c r="X128" t="s">
        <v>588</v>
      </c>
      <c r="Y128" t="s">
        <v>213</v>
      </c>
    </row>
    <row r="129" spans="1:25">
      <c r="A129" t="s">
        <v>589</v>
      </c>
      <c r="B129" s="2" t="str">
        <f>Hyperlink("https://www.diodes.com/datasheet/download/DMC6040SSD.pdf")</f>
        <v>https://www.diodes.com/datasheet/download/DMC6040SSD.pdf</v>
      </c>
      <c r="C129" t="str">
        <f>Hyperlink("https://www.diodes.com/part/view/DMC6040SSD","DMC6040SSD")</f>
        <v>DMC6040SSD</v>
      </c>
      <c r="D129" t="s">
        <v>113</v>
      </c>
      <c r="E129" t="s">
        <v>27</v>
      </c>
      <c r="F129" t="s">
        <v>28</v>
      </c>
      <c r="G129" t="s">
        <v>114</v>
      </c>
      <c r="H129" t="s">
        <v>30</v>
      </c>
      <c r="I129" t="s">
        <v>580</v>
      </c>
      <c r="J129" t="s">
        <v>116</v>
      </c>
      <c r="K129" t="s">
        <v>590</v>
      </c>
      <c r="M129">
        <v>1.56</v>
      </c>
      <c r="O129" t="s">
        <v>591</v>
      </c>
      <c r="P129" t="s">
        <v>592</v>
      </c>
      <c r="T129" t="s">
        <v>219</v>
      </c>
      <c r="U129" t="s">
        <v>593</v>
      </c>
      <c r="V129" t="s">
        <v>594</v>
      </c>
      <c r="W129" t="s">
        <v>595</v>
      </c>
      <c r="X129" t="s">
        <v>357</v>
      </c>
      <c r="Y129" t="s">
        <v>213</v>
      </c>
    </row>
    <row r="130" spans="1:25">
      <c r="A130" t="s">
        <v>596</v>
      </c>
      <c r="B130" s="2" t="str">
        <f>Hyperlink("https://www.diodes.com/datasheet/download/DMC6040SSDQ.pdf")</f>
        <v>https://www.diodes.com/datasheet/download/DMC6040SSDQ.pdf</v>
      </c>
      <c r="C130" t="str">
        <f>Hyperlink("https://www.diodes.com/part/view/DMC6040SSDQ","DMC6040SSDQ")</f>
        <v>DMC6040SSDQ</v>
      </c>
      <c r="D130" t="s">
        <v>597</v>
      </c>
      <c r="E130" t="s">
        <v>27</v>
      </c>
      <c r="F130" t="s">
        <v>37</v>
      </c>
      <c r="G130" t="s">
        <v>114</v>
      </c>
      <c r="H130" t="s">
        <v>30</v>
      </c>
      <c r="I130" t="s">
        <v>580</v>
      </c>
      <c r="J130" t="s">
        <v>116</v>
      </c>
      <c r="K130" t="s">
        <v>590</v>
      </c>
      <c r="M130">
        <v>1.56</v>
      </c>
      <c r="O130" t="s">
        <v>591</v>
      </c>
      <c r="P130" t="s">
        <v>592</v>
      </c>
      <c r="T130" t="s">
        <v>219</v>
      </c>
      <c r="U130" t="s">
        <v>593</v>
      </c>
      <c r="V130" t="s">
        <v>594</v>
      </c>
      <c r="W130" t="s">
        <v>595</v>
      </c>
      <c r="X130" t="s">
        <v>357</v>
      </c>
      <c r="Y130" t="s">
        <v>213</v>
      </c>
    </row>
    <row r="131" spans="1:25">
      <c r="A131" t="s">
        <v>598</v>
      </c>
      <c r="B131" s="2" t="str">
        <f>Hyperlink("https://www.diodes.com/datasheet/download/DMC6070LND.pdf")</f>
        <v>https://www.diodes.com/datasheet/download/DMC6070LND.pdf</v>
      </c>
      <c r="C131" t="str">
        <f>Hyperlink("https://www.diodes.com/part/view/DMC6070LND","DMC6070LND")</f>
        <v>DMC6070LND</v>
      </c>
      <c r="D131" t="s">
        <v>113</v>
      </c>
      <c r="E131" t="s">
        <v>30</v>
      </c>
      <c r="F131" t="s">
        <v>28</v>
      </c>
      <c r="G131" t="s">
        <v>114</v>
      </c>
      <c r="H131" t="s">
        <v>30</v>
      </c>
      <c r="I131" t="s">
        <v>580</v>
      </c>
      <c r="J131" t="s">
        <v>116</v>
      </c>
      <c r="K131" t="s">
        <v>599</v>
      </c>
      <c r="M131">
        <v>1.4</v>
      </c>
      <c r="O131" t="s">
        <v>600</v>
      </c>
      <c r="P131" t="s">
        <v>601</v>
      </c>
      <c r="T131" t="s">
        <v>219</v>
      </c>
      <c r="U131" t="s">
        <v>602</v>
      </c>
      <c r="V131" t="s">
        <v>603</v>
      </c>
      <c r="W131" t="s">
        <v>604</v>
      </c>
      <c r="X131" t="s">
        <v>116</v>
      </c>
      <c r="Y131" t="s">
        <v>386</v>
      </c>
    </row>
    <row r="132" spans="1:25">
      <c r="A132" t="s">
        <v>605</v>
      </c>
      <c r="B132" s="2" t="str">
        <f>Hyperlink("https://www.diodes.com/datasheet/download/DMC62D0SVQ.pdf")</f>
        <v>https://www.diodes.com/datasheet/download/DMC62D0SVQ.pdf</v>
      </c>
      <c r="C132" t="str">
        <f>Hyperlink("https://www.diodes.com/part/view/DMC62D0SVQ","DMC62D0SVQ")</f>
        <v>DMC62D0SVQ</v>
      </c>
      <c r="D132" t="s">
        <v>113</v>
      </c>
      <c r="E132" t="s">
        <v>27</v>
      </c>
      <c r="F132" t="s">
        <v>37</v>
      </c>
      <c r="G132" t="s">
        <v>114</v>
      </c>
      <c r="H132" t="s">
        <v>27</v>
      </c>
      <c r="I132" t="s">
        <v>115</v>
      </c>
      <c r="J132" t="s">
        <v>116</v>
      </c>
      <c r="K132" t="s">
        <v>606</v>
      </c>
      <c r="M132">
        <v>0.84</v>
      </c>
      <c r="O132" t="s">
        <v>607</v>
      </c>
      <c r="P132" t="s">
        <v>608</v>
      </c>
      <c r="S132" t="s">
        <v>175</v>
      </c>
      <c r="T132" t="s">
        <v>485</v>
      </c>
      <c r="U132" t="s">
        <v>174</v>
      </c>
      <c r="W132" t="s">
        <v>609</v>
      </c>
      <c r="X132" t="s">
        <v>148</v>
      </c>
      <c r="Y132" t="s">
        <v>60</v>
      </c>
    </row>
    <row r="133" spans="1:25">
      <c r="A133" t="s">
        <v>610</v>
      </c>
      <c r="B133" s="2" t="str">
        <f>Hyperlink("https://www.diodes.com/datasheet/download/DMC62D2SV.pdf")</f>
        <v>https://www.diodes.com/datasheet/download/DMC62D2SV.pdf</v>
      </c>
      <c r="C133" t="str">
        <f>Hyperlink("https://www.diodes.com/part/view/DMC62D2SV","DMC62D2SV")</f>
        <v>DMC62D2SV</v>
      </c>
      <c r="D133" t="s">
        <v>306</v>
      </c>
      <c r="E133" t="s">
        <v>30</v>
      </c>
      <c r="F133" t="s">
        <v>28</v>
      </c>
      <c r="G133" t="s">
        <v>114</v>
      </c>
      <c r="H133" t="s">
        <v>27</v>
      </c>
      <c r="I133" t="s">
        <v>582</v>
      </c>
      <c r="J133" t="s">
        <v>203</v>
      </c>
      <c r="K133" t="s">
        <v>611</v>
      </c>
      <c r="M133">
        <v>0.8</v>
      </c>
      <c r="O133" t="s">
        <v>612</v>
      </c>
      <c r="P133" t="s">
        <v>613</v>
      </c>
      <c r="S133" t="s">
        <v>207</v>
      </c>
      <c r="T133" t="s">
        <v>614</v>
      </c>
      <c r="U133" t="s">
        <v>615</v>
      </c>
      <c r="V133" t="s">
        <v>616</v>
      </c>
      <c r="W133" t="s">
        <v>617</v>
      </c>
      <c r="X133" t="s">
        <v>618</v>
      </c>
      <c r="Y133" t="s">
        <v>60</v>
      </c>
    </row>
    <row r="134" spans="1:25">
      <c r="A134" t="s">
        <v>619</v>
      </c>
      <c r="B134" s="2" t="str">
        <f>Hyperlink("https://www.diodes.com/datasheet/download/DMC62D2SVQ.pdf")</f>
        <v>https://www.diodes.com/datasheet/download/DMC62D2SVQ.pdf</v>
      </c>
      <c r="C134" t="str">
        <f>Hyperlink("https://www.diodes.com/part/view/DMC62D2SVQ","DMC62D2SVQ")</f>
        <v>DMC62D2SVQ</v>
      </c>
      <c r="D134" t="s">
        <v>306</v>
      </c>
      <c r="E134" t="s">
        <v>27</v>
      </c>
      <c r="F134" t="s">
        <v>37</v>
      </c>
      <c r="G134" t="s">
        <v>114</v>
      </c>
      <c r="H134" t="s">
        <v>27</v>
      </c>
      <c r="I134" t="s">
        <v>582</v>
      </c>
      <c r="J134" t="s">
        <v>203</v>
      </c>
      <c r="K134" t="s">
        <v>611</v>
      </c>
      <c r="M134">
        <v>0.8</v>
      </c>
      <c r="O134" t="s">
        <v>612</v>
      </c>
      <c r="P134" t="s">
        <v>613</v>
      </c>
      <c r="S134" t="s">
        <v>207</v>
      </c>
      <c r="T134" t="s">
        <v>614</v>
      </c>
      <c r="U134" t="s">
        <v>615</v>
      </c>
      <c r="V134" t="s">
        <v>616</v>
      </c>
      <c r="W134" t="s">
        <v>617</v>
      </c>
      <c r="X134" t="s">
        <v>618</v>
      </c>
      <c r="Y134" t="s">
        <v>60</v>
      </c>
    </row>
    <row r="135" spans="1:25">
      <c r="A135" t="s">
        <v>620</v>
      </c>
      <c r="B135" s="2" t="str">
        <f>Hyperlink("https://www.diodes.com/datasheet/download/DMC67D8UFDBQ.pdf")</f>
        <v>https://www.diodes.com/datasheet/download/DMC67D8UFDBQ.pdf</v>
      </c>
      <c r="C135" t="str">
        <f>Hyperlink("https://www.diodes.com/part/view/DMC67D8UFDBQ","DMC67D8UFDBQ")</f>
        <v>DMC67D8UFDBQ</v>
      </c>
      <c r="D135" t="s">
        <v>113</v>
      </c>
      <c r="E135" t="s">
        <v>27</v>
      </c>
      <c r="F135" t="s">
        <v>37</v>
      </c>
      <c r="G135" t="s">
        <v>114</v>
      </c>
      <c r="H135" t="s">
        <v>27</v>
      </c>
      <c r="I135" t="s">
        <v>621</v>
      </c>
      <c r="J135" t="s">
        <v>622</v>
      </c>
      <c r="K135" t="s">
        <v>623</v>
      </c>
      <c r="M135">
        <v>0.89</v>
      </c>
      <c r="O135" t="s">
        <v>624</v>
      </c>
      <c r="P135" t="s">
        <v>625</v>
      </c>
      <c r="T135" t="s">
        <v>626</v>
      </c>
      <c r="U135" t="s">
        <v>627</v>
      </c>
      <c r="W135" t="s">
        <v>628</v>
      </c>
      <c r="X135" t="s">
        <v>629</v>
      </c>
      <c r="Y135" t="s">
        <v>179</v>
      </c>
    </row>
    <row r="136" spans="1:25">
      <c r="A136" t="s">
        <v>630</v>
      </c>
      <c r="B136" s="2" t="str">
        <f>Hyperlink("https://www.diodes.com/datasheet/download/DMG1012T.pdf")</f>
        <v>https://www.diodes.com/datasheet/download/DMG1012T.pdf</v>
      </c>
      <c r="C136" t="str">
        <f>Hyperlink("https://www.diodes.com/part/view/DMG1012T","DMG1012T")</f>
        <v>DMG1012T</v>
      </c>
      <c r="D136" t="s">
        <v>631</v>
      </c>
      <c r="E136" t="s">
        <v>27</v>
      </c>
      <c r="F136" t="s">
        <v>28</v>
      </c>
      <c r="G136" t="s">
        <v>29</v>
      </c>
      <c r="H136" t="s">
        <v>27</v>
      </c>
      <c r="I136">
        <v>20</v>
      </c>
      <c r="J136">
        <v>6</v>
      </c>
      <c r="K136">
        <v>0.63</v>
      </c>
      <c r="M136">
        <v>0.28</v>
      </c>
      <c r="P136">
        <v>400</v>
      </c>
      <c r="Q136">
        <v>500</v>
      </c>
      <c r="R136">
        <v>700</v>
      </c>
      <c r="S136">
        <v>0.5</v>
      </c>
      <c r="T136">
        <v>1</v>
      </c>
      <c r="U136">
        <v>0.74</v>
      </c>
      <c r="W136">
        <v>61</v>
      </c>
      <c r="Y136" t="s">
        <v>56</v>
      </c>
    </row>
    <row r="137" spans="1:25">
      <c r="A137" t="s">
        <v>632</v>
      </c>
      <c r="B137" s="2" t="str">
        <f>Hyperlink("https://www.diodes.com/datasheet/download/DMG1012UW.pdf")</f>
        <v>https://www.diodes.com/datasheet/download/DMG1012UW.pdf</v>
      </c>
      <c r="C137" t="str">
        <f>Hyperlink("https://www.diodes.com/part/view/DMG1012UW","DMG1012UW")</f>
        <v>DMG1012UW</v>
      </c>
      <c r="D137" t="s">
        <v>631</v>
      </c>
      <c r="E137" t="s">
        <v>27</v>
      </c>
      <c r="F137" t="s">
        <v>28</v>
      </c>
      <c r="G137" t="s">
        <v>29</v>
      </c>
      <c r="H137" t="s">
        <v>27</v>
      </c>
      <c r="I137">
        <v>20</v>
      </c>
      <c r="J137">
        <v>6</v>
      </c>
      <c r="K137">
        <v>1</v>
      </c>
      <c r="M137">
        <v>0.29</v>
      </c>
      <c r="P137">
        <v>450</v>
      </c>
      <c r="Q137">
        <v>600</v>
      </c>
      <c r="R137">
        <v>750</v>
      </c>
      <c r="S137">
        <v>0.5</v>
      </c>
      <c r="T137">
        <v>1</v>
      </c>
      <c r="U137">
        <v>0.74</v>
      </c>
      <c r="W137">
        <v>61</v>
      </c>
      <c r="Y137" t="s">
        <v>92</v>
      </c>
    </row>
    <row r="138" spans="1:25">
      <c r="A138" t="s">
        <v>633</v>
      </c>
      <c r="B138" s="2" t="str">
        <f>Hyperlink("https://www.diodes.com/datasheet/download/DMG1012UWQ.pdf")</f>
        <v>https://www.diodes.com/datasheet/download/DMG1012UWQ.pdf</v>
      </c>
      <c r="C138" t="str">
        <f>Hyperlink("https://www.diodes.com/part/view/DMG1012UWQ","DMG1012UWQ")</f>
        <v>DMG1012UWQ</v>
      </c>
      <c r="D138" t="s">
        <v>26</v>
      </c>
      <c r="E138" t="s">
        <v>27</v>
      </c>
      <c r="F138" t="s">
        <v>37</v>
      </c>
      <c r="G138" t="s">
        <v>29</v>
      </c>
      <c r="H138" t="s">
        <v>27</v>
      </c>
      <c r="I138">
        <v>20</v>
      </c>
      <c r="J138">
        <v>6</v>
      </c>
      <c r="K138">
        <v>0.95</v>
      </c>
      <c r="M138">
        <v>0.29</v>
      </c>
      <c r="P138">
        <v>450</v>
      </c>
      <c r="Q138">
        <v>600</v>
      </c>
      <c r="R138">
        <v>750</v>
      </c>
      <c r="S138">
        <v>0.5</v>
      </c>
      <c r="T138">
        <v>1</v>
      </c>
      <c r="U138">
        <v>0.7</v>
      </c>
      <c r="W138">
        <v>60.6</v>
      </c>
      <c r="X138">
        <v>16</v>
      </c>
      <c r="Y138" t="s">
        <v>92</v>
      </c>
    </row>
    <row r="139" spans="1:25">
      <c r="A139" t="s">
        <v>634</v>
      </c>
      <c r="B139" s="2" t="str">
        <f>Hyperlink("https://www.diodes.com/datasheet/download/DMG1013T.pdf")</f>
        <v>https://www.diodes.com/datasheet/download/DMG1013T.pdf</v>
      </c>
      <c r="C139" t="str">
        <f>Hyperlink("https://www.diodes.com/part/view/DMG1013T","DMG1013T")</f>
        <v>DMG1013T</v>
      </c>
      <c r="D139" t="s">
        <v>74</v>
      </c>
      <c r="E139" t="s">
        <v>27</v>
      </c>
      <c r="F139" t="s">
        <v>28</v>
      </c>
      <c r="G139" t="s">
        <v>75</v>
      </c>
      <c r="H139" t="s">
        <v>27</v>
      </c>
      <c r="I139">
        <v>20</v>
      </c>
      <c r="J139">
        <v>6</v>
      </c>
      <c r="K139">
        <v>0.46</v>
      </c>
      <c r="M139">
        <v>0.27</v>
      </c>
      <c r="P139">
        <v>700</v>
      </c>
      <c r="Q139">
        <v>900</v>
      </c>
      <c r="R139">
        <v>1300</v>
      </c>
      <c r="S139">
        <v>0.5</v>
      </c>
      <c r="T139">
        <v>1</v>
      </c>
      <c r="U139">
        <v>0.58</v>
      </c>
      <c r="W139">
        <v>59.76</v>
      </c>
      <c r="X139">
        <v>16</v>
      </c>
      <c r="Y139" t="s">
        <v>56</v>
      </c>
    </row>
    <row r="140" spans="1:25">
      <c r="A140" t="s">
        <v>635</v>
      </c>
      <c r="B140" s="2" t="str">
        <f>Hyperlink("https://www.diodes.com/datasheet/download/DMG1013TQ.pdf")</f>
        <v>https://www.diodes.com/datasheet/download/DMG1013TQ.pdf</v>
      </c>
      <c r="C140" t="str">
        <f>Hyperlink("https://www.diodes.com/part/view/DMG1013TQ","DMG1013TQ")</f>
        <v>DMG1013TQ</v>
      </c>
      <c r="D140" t="s">
        <v>636</v>
      </c>
      <c r="E140" t="s">
        <v>27</v>
      </c>
      <c r="F140" t="s">
        <v>37</v>
      </c>
      <c r="G140" t="s">
        <v>75</v>
      </c>
      <c r="H140" t="s">
        <v>27</v>
      </c>
      <c r="I140">
        <v>20</v>
      </c>
      <c r="J140">
        <v>6</v>
      </c>
      <c r="K140">
        <v>0.46</v>
      </c>
      <c r="M140">
        <v>0.27</v>
      </c>
      <c r="P140">
        <v>700</v>
      </c>
      <c r="Q140">
        <v>900</v>
      </c>
      <c r="R140">
        <v>1300</v>
      </c>
      <c r="S140">
        <v>0.5</v>
      </c>
      <c r="T140">
        <v>1</v>
      </c>
      <c r="U140">
        <v>0.58</v>
      </c>
      <c r="W140">
        <v>59.76</v>
      </c>
      <c r="X140">
        <v>16</v>
      </c>
      <c r="Y140" t="s">
        <v>56</v>
      </c>
    </row>
    <row r="141" spans="1:25">
      <c r="A141" t="s">
        <v>637</v>
      </c>
      <c r="B141" s="2" t="str">
        <f>Hyperlink("https://www.diodes.com/datasheet/download/DMG1013UW.pdf")</f>
        <v>https://www.diodes.com/datasheet/download/DMG1013UW.pdf</v>
      </c>
      <c r="C141" t="str">
        <f>Hyperlink("https://www.diodes.com/part/view/DMG1013UW","DMG1013UW")</f>
        <v>DMG1013UW</v>
      </c>
      <c r="D141" t="s">
        <v>74</v>
      </c>
      <c r="E141" t="s">
        <v>27</v>
      </c>
      <c r="F141" t="s">
        <v>28</v>
      </c>
      <c r="G141" t="s">
        <v>75</v>
      </c>
      <c r="H141" t="s">
        <v>27</v>
      </c>
      <c r="I141">
        <v>20</v>
      </c>
      <c r="J141">
        <v>6</v>
      </c>
      <c r="K141">
        <v>0.82</v>
      </c>
      <c r="M141">
        <v>0.31</v>
      </c>
      <c r="P141">
        <v>750</v>
      </c>
      <c r="Q141">
        <v>1050</v>
      </c>
      <c r="R141">
        <v>1500</v>
      </c>
      <c r="S141">
        <v>0.5</v>
      </c>
      <c r="T141">
        <v>1</v>
      </c>
      <c r="U141">
        <v>0.622</v>
      </c>
      <c r="W141">
        <v>59.76</v>
      </c>
      <c r="X141">
        <v>16</v>
      </c>
      <c r="Y141" t="s">
        <v>92</v>
      </c>
    </row>
    <row r="142" spans="1:25">
      <c r="A142" t="s">
        <v>638</v>
      </c>
      <c r="B142" s="2" t="str">
        <f>Hyperlink("https://www.diodes.com/datasheet/download/DMG1013UWQ.pdf")</f>
        <v>https://www.diodes.com/datasheet/download/DMG1013UWQ.pdf</v>
      </c>
      <c r="C142" t="str">
        <f>Hyperlink("https://www.diodes.com/part/view/DMG1013UWQ","DMG1013UWQ")</f>
        <v>DMG1013UWQ</v>
      </c>
      <c r="D142" t="s">
        <v>636</v>
      </c>
      <c r="E142" t="s">
        <v>27</v>
      </c>
      <c r="F142" t="s">
        <v>37</v>
      </c>
      <c r="G142" t="s">
        <v>75</v>
      </c>
      <c r="H142" t="s">
        <v>27</v>
      </c>
      <c r="I142">
        <v>20</v>
      </c>
      <c r="J142">
        <v>6</v>
      </c>
      <c r="K142">
        <v>0.82</v>
      </c>
      <c r="M142">
        <v>0.31</v>
      </c>
      <c r="P142">
        <v>750</v>
      </c>
      <c r="Q142">
        <v>1050</v>
      </c>
      <c r="R142">
        <v>1500</v>
      </c>
      <c r="T142">
        <v>1</v>
      </c>
      <c r="U142">
        <v>0.622</v>
      </c>
      <c r="W142">
        <v>59.76</v>
      </c>
      <c r="X142">
        <v>16</v>
      </c>
      <c r="Y142" t="s">
        <v>92</v>
      </c>
    </row>
    <row r="143" spans="1:25">
      <c r="A143" t="s">
        <v>639</v>
      </c>
      <c r="B143" s="2" t="str">
        <f>Hyperlink("https://www.diodes.com/datasheet/download/DMG1016UDW.pdf")</f>
        <v>https://www.diodes.com/datasheet/download/DMG1016UDW.pdf</v>
      </c>
      <c r="C143" t="str">
        <f>Hyperlink("https://www.diodes.com/part/view/DMG1016UDW","DMG1016UDW")</f>
        <v>DMG1016UDW</v>
      </c>
      <c r="D143" t="s">
        <v>113</v>
      </c>
      <c r="E143" t="s">
        <v>27</v>
      </c>
      <c r="F143" t="s">
        <v>28</v>
      </c>
      <c r="G143" t="s">
        <v>114</v>
      </c>
      <c r="H143" t="s">
        <v>27</v>
      </c>
      <c r="I143" t="s">
        <v>116</v>
      </c>
      <c r="J143" t="s">
        <v>163</v>
      </c>
      <c r="K143" t="s">
        <v>640</v>
      </c>
      <c r="M143">
        <v>0.33</v>
      </c>
      <c r="P143" t="s">
        <v>341</v>
      </c>
      <c r="Q143" t="s">
        <v>342</v>
      </c>
      <c r="R143" t="s">
        <v>343</v>
      </c>
      <c r="S143" t="s">
        <v>231</v>
      </c>
      <c r="T143" t="s">
        <v>175</v>
      </c>
      <c r="U143" t="s">
        <v>337</v>
      </c>
      <c r="W143" t="s">
        <v>338</v>
      </c>
      <c r="X143" t="s">
        <v>641</v>
      </c>
      <c r="Y143" t="s">
        <v>42</v>
      </c>
    </row>
    <row r="144" spans="1:25">
      <c r="A144" t="s">
        <v>642</v>
      </c>
      <c r="B144" s="2" t="str">
        <f>Hyperlink("https://www.diodes.com/datasheet/download/DMG1016V.pdf")</f>
        <v>https://www.diodes.com/datasheet/download/DMG1016V.pdf</v>
      </c>
      <c r="C144" t="str">
        <f>Hyperlink("https://www.diodes.com/part/view/DMG1016V","DMG1016V")</f>
        <v>DMG1016V</v>
      </c>
      <c r="D144" t="s">
        <v>113</v>
      </c>
      <c r="E144" t="s">
        <v>27</v>
      </c>
      <c r="F144" t="s">
        <v>28</v>
      </c>
      <c r="G144" t="s">
        <v>114</v>
      </c>
      <c r="H144" t="s">
        <v>27</v>
      </c>
      <c r="I144" t="s">
        <v>116</v>
      </c>
      <c r="J144" t="s">
        <v>163</v>
      </c>
      <c r="K144" t="s">
        <v>643</v>
      </c>
      <c r="M144">
        <v>0.53</v>
      </c>
      <c r="P144" t="s">
        <v>334</v>
      </c>
      <c r="Q144" t="s">
        <v>335</v>
      </c>
      <c r="R144" t="s">
        <v>336</v>
      </c>
      <c r="S144" t="s">
        <v>231</v>
      </c>
      <c r="T144" t="s">
        <v>175</v>
      </c>
      <c r="U144" t="s">
        <v>337</v>
      </c>
      <c r="W144" t="s">
        <v>338</v>
      </c>
      <c r="X144" t="s">
        <v>233</v>
      </c>
      <c r="Y144" t="s">
        <v>60</v>
      </c>
    </row>
    <row r="145" spans="1:25">
      <c r="A145" t="s">
        <v>644</v>
      </c>
      <c r="B145" s="2" t="str">
        <f>Hyperlink("https://www.diodes.com/datasheet/download/DMG1023UV.pdf")</f>
        <v>https://www.diodes.com/datasheet/download/DMG1023UV.pdf</v>
      </c>
      <c r="C145" t="str">
        <f>Hyperlink("https://www.diodes.com/part/view/DMG1023UV","DMG1023UV")</f>
        <v>DMG1023UV</v>
      </c>
      <c r="D145" t="s">
        <v>123</v>
      </c>
      <c r="E145" t="s">
        <v>27</v>
      </c>
      <c r="F145" t="s">
        <v>28</v>
      </c>
      <c r="G145" t="s">
        <v>124</v>
      </c>
      <c r="H145" t="s">
        <v>27</v>
      </c>
      <c r="I145">
        <v>20</v>
      </c>
      <c r="J145">
        <v>6</v>
      </c>
      <c r="K145">
        <v>1.03</v>
      </c>
      <c r="M145">
        <v>0.53</v>
      </c>
      <c r="P145">
        <v>750</v>
      </c>
      <c r="Q145">
        <v>1050</v>
      </c>
      <c r="R145">
        <v>1500</v>
      </c>
      <c r="S145">
        <v>0.5</v>
      </c>
      <c r="T145">
        <v>1</v>
      </c>
      <c r="U145">
        <v>0.62</v>
      </c>
      <c r="W145">
        <v>62</v>
      </c>
      <c r="Y145" t="s">
        <v>60</v>
      </c>
    </row>
    <row r="146" spans="1:25">
      <c r="A146" t="s">
        <v>645</v>
      </c>
      <c r="B146" s="2" t="str">
        <f>Hyperlink("https://www.diodes.com/datasheet/download/DMG1023UVQ.pdf")</f>
        <v>https://www.diodes.com/datasheet/download/DMG1023UVQ.pdf</v>
      </c>
      <c r="C146" t="str">
        <f>Hyperlink("https://www.diodes.com/part/view/DMG1023UVQ","DMG1023UVQ")</f>
        <v>DMG1023UVQ</v>
      </c>
      <c r="D146" t="s">
        <v>127</v>
      </c>
      <c r="E146" t="s">
        <v>27</v>
      </c>
      <c r="F146" t="s">
        <v>37</v>
      </c>
      <c r="G146" t="s">
        <v>124</v>
      </c>
      <c r="H146" t="s">
        <v>27</v>
      </c>
      <c r="I146">
        <v>20</v>
      </c>
      <c r="J146">
        <v>6</v>
      </c>
      <c r="K146">
        <v>1.03</v>
      </c>
      <c r="M146">
        <v>0.53</v>
      </c>
      <c r="P146">
        <v>750</v>
      </c>
      <c r="Q146">
        <v>1050</v>
      </c>
      <c r="R146">
        <v>1500</v>
      </c>
      <c r="S146">
        <v>0.5</v>
      </c>
      <c r="T146">
        <v>1</v>
      </c>
      <c r="U146">
        <v>0.62</v>
      </c>
      <c r="W146">
        <v>59</v>
      </c>
      <c r="X146">
        <v>16</v>
      </c>
      <c r="Y146" t="s">
        <v>60</v>
      </c>
    </row>
    <row r="147" spans="1:25">
      <c r="A147" t="s">
        <v>646</v>
      </c>
      <c r="B147" s="2" t="str">
        <f>Hyperlink("https://www.diodes.com/datasheet/download/DMG1024UV.pdf")</f>
        <v>https://www.diodes.com/datasheet/download/DMG1024UV.pdf</v>
      </c>
      <c r="C147" t="str">
        <f>Hyperlink("https://www.diodes.com/part/view/DMG1024UV","DMG1024UV")</f>
        <v>DMG1024UV</v>
      </c>
      <c r="D147" t="s">
        <v>631</v>
      </c>
      <c r="E147" t="s">
        <v>27</v>
      </c>
      <c r="F147" t="s">
        <v>28</v>
      </c>
      <c r="G147" t="s">
        <v>40</v>
      </c>
      <c r="H147" t="s">
        <v>27</v>
      </c>
      <c r="I147">
        <v>20</v>
      </c>
      <c r="J147">
        <v>6</v>
      </c>
      <c r="K147">
        <v>1.4</v>
      </c>
      <c r="M147">
        <v>0.53</v>
      </c>
      <c r="P147">
        <v>450</v>
      </c>
      <c r="Q147">
        <v>600</v>
      </c>
      <c r="R147">
        <v>750</v>
      </c>
      <c r="S147">
        <v>0.5</v>
      </c>
      <c r="T147">
        <v>1</v>
      </c>
      <c r="U147">
        <v>0.74</v>
      </c>
      <c r="W147">
        <v>61</v>
      </c>
      <c r="Y147" t="s">
        <v>60</v>
      </c>
    </row>
    <row r="148" spans="1:25">
      <c r="A148" t="s">
        <v>647</v>
      </c>
      <c r="B148" s="2" t="str">
        <f>Hyperlink("https://www.diodes.com/datasheet/download/DMG1026UVQ.pdf")</f>
        <v>https://www.diodes.com/datasheet/download/DMG1026UVQ.pdf</v>
      </c>
      <c r="C148" t="str">
        <f>Hyperlink("https://www.diodes.com/part/view/DMG1026UVQ","DMG1026UVQ")</f>
        <v>DMG1026UVQ</v>
      </c>
      <c r="D148" t="s">
        <v>39</v>
      </c>
      <c r="E148" t="s">
        <v>27</v>
      </c>
      <c r="F148" t="s">
        <v>37</v>
      </c>
      <c r="G148" t="s">
        <v>40</v>
      </c>
      <c r="H148" t="s">
        <v>27</v>
      </c>
      <c r="I148">
        <v>60</v>
      </c>
      <c r="J148">
        <v>20</v>
      </c>
      <c r="K148">
        <v>0.41</v>
      </c>
      <c r="M148">
        <v>0.65</v>
      </c>
      <c r="O148">
        <v>1800</v>
      </c>
      <c r="P148">
        <v>2100</v>
      </c>
      <c r="T148">
        <v>1.8</v>
      </c>
      <c r="U148">
        <v>0.45</v>
      </c>
      <c r="Y148" t="s">
        <v>60</v>
      </c>
    </row>
    <row r="149" spans="1:25">
      <c r="A149" t="s">
        <v>648</v>
      </c>
      <c r="B149" s="2" t="str">
        <f>Hyperlink("https://www.diodes.com/datasheet/download/DMG1029SVQ.pdf")</f>
        <v>https://www.diodes.com/datasheet/download/DMG1029SVQ.pdf</v>
      </c>
      <c r="C149" t="str">
        <f>Hyperlink("https://www.diodes.com/part/view/DMG1029SVQ","DMG1029SVQ")</f>
        <v>DMG1029SVQ</v>
      </c>
      <c r="D149" t="s">
        <v>113</v>
      </c>
      <c r="E149" t="s">
        <v>27</v>
      </c>
      <c r="F149" t="s">
        <v>37</v>
      </c>
      <c r="G149" t="s">
        <v>114</v>
      </c>
      <c r="H149" t="s">
        <v>30</v>
      </c>
      <c r="I149" t="s">
        <v>580</v>
      </c>
      <c r="J149" t="s">
        <v>116</v>
      </c>
      <c r="K149" t="s">
        <v>367</v>
      </c>
      <c r="M149">
        <v>0.45</v>
      </c>
      <c r="O149" t="s">
        <v>612</v>
      </c>
      <c r="P149" t="s">
        <v>613</v>
      </c>
      <c r="T149" t="s">
        <v>649</v>
      </c>
      <c r="U149" t="s">
        <v>650</v>
      </c>
      <c r="W149" t="s">
        <v>618</v>
      </c>
      <c r="X149" t="s">
        <v>428</v>
      </c>
      <c r="Y149" t="s">
        <v>60</v>
      </c>
    </row>
    <row r="150" spans="1:25">
      <c r="A150" t="s">
        <v>651</v>
      </c>
      <c r="B150" s="2" t="str">
        <f>Hyperlink("https://www.diodes.com/datasheet/download/DMG2301L.pdf")</f>
        <v>https://www.diodes.com/datasheet/download/DMG2301L.pdf</v>
      </c>
      <c r="C150" t="str">
        <f>Hyperlink("https://www.diodes.com/part/view/DMG2301L","DMG2301L")</f>
        <v>DMG2301L</v>
      </c>
      <c r="D150" t="s">
        <v>74</v>
      </c>
      <c r="E150" t="s">
        <v>30</v>
      </c>
      <c r="F150" t="s">
        <v>28</v>
      </c>
      <c r="G150" t="s">
        <v>75</v>
      </c>
      <c r="H150" t="s">
        <v>30</v>
      </c>
      <c r="I150">
        <v>20</v>
      </c>
      <c r="J150">
        <v>8</v>
      </c>
      <c r="K150">
        <v>3</v>
      </c>
      <c r="M150">
        <v>1.5</v>
      </c>
      <c r="P150">
        <v>120</v>
      </c>
      <c r="Q150">
        <v>150</v>
      </c>
      <c r="T150">
        <v>1.2</v>
      </c>
      <c r="U150">
        <v>5.5</v>
      </c>
      <c r="W150">
        <v>476</v>
      </c>
      <c r="X150">
        <v>10</v>
      </c>
      <c r="Y150" t="s">
        <v>35</v>
      </c>
    </row>
    <row r="151" spans="1:25">
      <c r="A151" t="s">
        <v>652</v>
      </c>
      <c r="B151" s="2" t="str">
        <f>Hyperlink("https://www.diodes.com/datasheet/download/DMG2301LK.pdf")</f>
        <v>https://www.diodes.com/datasheet/download/DMG2301LK.pdf</v>
      </c>
      <c r="C151" t="str">
        <f>Hyperlink("https://www.diodes.com/part/view/DMG2301LK","DMG2301LK")</f>
        <v>DMG2301LK</v>
      </c>
      <c r="D151" t="s">
        <v>74</v>
      </c>
      <c r="E151" t="s">
        <v>27</v>
      </c>
      <c r="F151" t="s">
        <v>28</v>
      </c>
      <c r="G151" t="s">
        <v>75</v>
      </c>
      <c r="H151" t="s">
        <v>27</v>
      </c>
      <c r="I151">
        <v>20</v>
      </c>
      <c r="J151">
        <v>12</v>
      </c>
      <c r="K151">
        <v>2.4</v>
      </c>
      <c r="M151">
        <v>1.4</v>
      </c>
      <c r="P151">
        <v>160</v>
      </c>
      <c r="Q151">
        <v>210</v>
      </c>
      <c r="R151">
        <v>298</v>
      </c>
      <c r="S151">
        <v>0.3</v>
      </c>
      <c r="T151">
        <v>1</v>
      </c>
      <c r="U151">
        <v>1.6</v>
      </c>
      <c r="V151">
        <v>3.4</v>
      </c>
      <c r="W151">
        <v>156</v>
      </c>
      <c r="X151">
        <v>6</v>
      </c>
      <c r="Y151" t="s">
        <v>35</v>
      </c>
    </row>
    <row r="152" spans="1:25">
      <c r="A152" t="s">
        <v>653</v>
      </c>
      <c r="B152" s="2" t="str">
        <f>Hyperlink("https://www.diodes.com/datasheet/download/DMG2301U.pdf")</f>
        <v>https://www.diodes.com/datasheet/download/DMG2301U.pdf</v>
      </c>
      <c r="C152" t="str">
        <f>Hyperlink("https://www.diodes.com/part/view/DMG2301U","DMG2301U")</f>
        <v>DMG2301U</v>
      </c>
      <c r="D152" t="s">
        <v>74</v>
      </c>
      <c r="E152" t="s">
        <v>27</v>
      </c>
      <c r="F152" t="s">
        <v>28</v>
      </c>
      <c r="G152" t="s">
        <v>75</v>
      </c>
      <c r="H152" t="s">
        <v>30</v>
      </c>
      <c r="I152">
        <v>20</v>
      </c>
      <c r="J152">
        <v>8</v>
      </c>
      <c r="K152">
        <v>2.7</v>
      </c>
      <c r="M152">
        <v>0.8</v>
      </c>
      <c r="P152">
        <v>80</v>
      </c>
      <c r="Q152">
        <v>110</v>
      </c>
      <c r="S152">
        <v>0.45</v>
      </c>
      <c r="T152">
        <v>1</v>
      </c>
      <c r="U152">
        <v>6.5</v>
      </c>
      <c r="W152">
        <v>600</v>
      </c>
      <c r="Y152" t="s">
        <v>35</v>
      </c>
    </row>
    <row r="153" spans="1:25">
      <c r="A153" t="s">
        <v>654</v>
      </c>
      <c r="B153" s="2" t="str">
        <f>Hyperlink("https://www.diodes.com/datasheet/download/DMG2302UK.pdf")</f>
        <v>https://www.diodes.com/datasheet/download/DMG2302UK.pdf</v>
      </c>
      <c r="C153" t="str">
        <f>Hyperlink("https://www.diodes.com/part/view/DMG2302UK","DMG2302UK")</f>
        <v>DMG2302UK</v>
      </c>
      <c r="D153" t="s">
        <v>26</v>
      </c>
      <c r="E153" t="s">
        <v>27</v>
      </c>
      <c r="F153" t="s">
        <v>28</v>
      </c>
      <c r="G153" t="s">
        <v>29</v>
      </c>
      <c r="H153" t="s">
        <v>27</v>
      </c>
      <c r="I153">
        <v>20</v>
      </c>
      <c r="J153">
        <v>12</v>
      </c>
      <c r="K153">
        <v>2.8</v>
      </c>
      <c r="M153">
        <v>1.1</v>
      </c>
      <c r="P153">
        <v>90</v>
      </c>
      <c r="Q153">
        <v>120</v>
      </c>
      <c r="S153">
        <v>0.3</v>
      </c>
      <c r="T153">
        <v>1</v>
      </c>
      <c r="U153">
        <v>1.4</v>
      </c>
      <c r="V153">
        <v>2.8</v>
      </c>
      <c r="W153">
        <v>130</v>
      </c>
      <c r="X153">
        <v>10</v>
      </c>
      <c r="Y153" t="s">
        <v>35</v>
      </c>
    </row>
    <row r="154" spans="1:25">
      <c r="A154" t="s">
        <v>655</v>
      </c>
      <c r="B154" s="2" t="str">
        <f>Hyperlink("https://www.diodes.com/datasheet/download/DMG2302UKQ.pdf")</f>
        <v>https://www.diodes.com/datasheet/download/DMG2302UKQ.pdf</v>
      </c>
      <c r="C154" t="str">
        <f>Hyperlink("https://www.diodes.com/part/view/DMG2302UKQ","DMG2302UKQ")</f>
        <v>DMG2302UKQ</v>
      </c>
      <c r="D154" t="s">
        <v>26</v>
      </c>
      <c r="E154" t="s">
        <v>27</v>
      </c>
      <c r="F154" t="s">
        <v>37</v>
      </c>
      <c r="G154" t="s">
        <v>29</v>
      </c>
      <c r="H154" t="s">
        <v>27</v>
      </c>
      <c r="I154">
        <v>20</v>
      </c>
      <c r="J154">
        <v>12</v>
      </c>
      <c r="K154">
        <v>2.8</v>
      </c>
      <c r="M154">
        <v>1.1</v>
      </c>
      <c r="P154">
        <v>90</v>
      </c>
      <c r="Q154">
        <v>120</v>
      </c>
      <c r="T154">
        <v>1</v>
      </c>
      <c r="U154">
        <v>1.4</v>
      </c>
      <c r="V154">
        <v>2.8</v>
      </c>
      <c r="W154">
        <v>130</v>
      </c>
      <c r="X154">
        <v>10</v>
      </c>
      <c r="Y154" t="s">
        <v>35</v>
      </c>
    </row>
    <row r="155" spans="1:25">
      <c r="A155" t="s">
        <v>656</v>
      </c>
      <c r="B155" s="2" t="str">
        <f>Hyperlink("https://www.diodes.com/datasheet/download/DMG2305UX.pdf")</f>
        <v>https://www.diodes.com/datasheet/download/DMG2305UX.pdf</v>
      </c>
      <c r="C155" t="str">
        <f>Hyperlink("https://www.diodes.com/part/view/DMG2305UX","DMG2305UX")</f>
        <v>DMG2305UX</v>
      </c>
      <c r="D155" t="s">
        <v>74</v>
      </c>
      <c r="E155" t="s">
        <v>27</v>
      </c>
      <c r="F155" t="s">
        <v>28</v>
      </c>
      <c r="G155" t="s">
        <v>75</v>
      </c>
      <c r="H155" t="s">
        <v>30</v>
      </c>
      <c r="I155">
        <v>20</v>
      </c>
      <c r="J155">
        <v>8</v>
      </c>
      <c r="K155">
        <v>5</v>
      </c>
      <c r="M155">
        <v>1.4</v>
      </c>
      <c r="P155">
        <v>52</v>
      </c>
      <c r="Q155">
        <v>100</v>
      </c>
      <c r="R155">
        <v>200</v>
      </c>
      <c r="S155">
        <v>0.5</v>
      </c>
      <c r="T155">
        <v>0.9</v>
      </c>
      <c r="U155">
        <v>10.2</v>
      </c>
      <c r="W155">
        <v>820</v>
      </c>
      <c r="X155">
        <v>15</v>
      </c>
      <c r="Y155" t="s">
        <v>35</v>
      </c>
    </row>
    <row r="156" spans="1:25">
      <c r="A156" t="s">
        <v>657</v>
      </c>
      <c r="B156" s="2" t="str">
        <f>Hyperlink("https://www.diodes.com/datasheet/download/DMG2305UXQ.pdf")</f>
        <v>https://www.diodes.com/datasheet/download/DMG2305UXQ.pdf</v>
      </c>
      <c r="C156" t="str">
        <f>Hyperlink("https://www.diodes.com/part/view/DMG2305UXQ","DMG2305UXQ")</f>
        <v>DMG2305UXQ</v>
      </c>
      <c r="D156" t="s">
        <v>74</v>
      </c>
      <c r="E156" t="s">
        <v>27</v>
      </c>
      <c r="F156" t="s">
        <v>37</v>
      </c>
      <c r="G156" t="s">
        <v>75</v>
      </c>
      <c r="H156" t="s">
        <v>30</v>
      </c>
      <c r="I156">
        <v>20</v>
      </c>
      <c r="J156">
        <v>8</v>
      </c>
      <c r="K156">
        <v>5</v>
      </c>
      <c r="M156">
        <v>1.4</v>
      </c>
      <c r="P156">
        <v>52</v>
      </c>
      <c r="Q156">
        <v>100</v>
      </c>
      <c r="R156">
        <v>200</v>
      </c>
      <c r="S156">
        <v>0.5</v>
      </c>
      <c r="T156">
        <v>0.9</v>
      </c>
      <c r="U156">
        <v>10.2</v>
      </c>
      <c r="W156">
        <v>808</v>
      </c>
      <c r="X156">
        <v>15</v>
      </c>
      <c r="Y156" t="s">
        <v>35</v>
      </c>
    </row>
    <row r="157" spans="1:25">
      <c r="A157" t="s">
        <v>658</v>
      </c>
      <c r="B157" s="2" t="str">
        <f>Hyperlink("https://www.diodes.com/datasheet/download/DMG301NU.pdf")</f>
        <v>https://www.diodes.com/datasheet/download/DMG301NU.pdf</v>
      </c>
      <c r="C157" t="str">
        <f>Hyperlink("https://www.diodes.com/part/view/DMG301NU","DMG301NU")</f>
        <v>DMG301NU</v>
      </c>
      <c r="D157" t="s">
        <v>631</v>
      </c>
      <c r="E157" t="s">
        <v>27</v>
      </c>
      <c r="F157" t="s">
        <v>28</v>
      </c>
      <c r="G157" t="s">
        <v>29</v>
      </c>
      <c r="H157" t="s">
        <v>27</v>
      </c>
      <c r="I157">
        <v>25</v>
      </c>
      <c r="J157">
        <v>8</v>
      </c>
      <c r="K157">
        <v>0.26</v>
      </c>
      <c r="M157">
        <v>0.4</v>
      </c>
      <c r="P157">
        <v>4000</v>
      </c>
      <c r="Q157">
        <v>5000</v>
      </c>
      <c r="S157">
        <v>0.7</v>
      </c>
      <c r="T157">
        <v>1.1</v>
      </c>
      <c r="U157">
        <v>0.36</v>
      </c>
      <c r="W157">
        <v>27.9</v>
      </c>
      <c r="Y157" t="s">
        <v>35</v>
      </c>
    </row>
    <row r="158" spans="1:25">
      <c r="A158" t="s">
        <v>659</v>
      </c>
      <c r="B158" s="2" t="str">
        <f>Hyperlink("https://www.diodes.com/datasheet/download/DMG302PU.pdf")</f>
        <v>https://www.diodes.com/datasheet/download/DMG302PU.pdf</v>
      </c>
      <c r="C158" t="str">
        <f>Hyperlink("https://www.diodes.com/part/view/DMG302PU","DMG302PU")</f>
        <v>DMG302PU</v>
      </c>
      <c r="D158" t="s">
        <v>74</v>
      </c>
      <c r="E158" t="s">
        <v>27</v>
      </c>
      <c r="F158" t="s">
        <v>28</v>
      </c>
      <c r="G158" t="s">
        <v>75</v>
      </c>
      <c r="H158" t="s">
        <v>27</v>
      </c>
      <c r="I158">
        <v>25</v>
      </c>
      <c r="J158">
        <v>8</v>
      </c>
      <c r="K158">
        <v>0.17</v>
      </c>
      <c r="M158">
        <v>0.45</v>
      </c>
      <c r="P158">
        <v>10000</v>
      </c>
      <c r="Q158">
        <v>13000</v>
      </c>
      <c r="S158">
        <v>0.65</v>
      </c>
      <c r="T158">
        <v>1.5</v>
      </c>
      <c r="U158">
        <v>0.35</v>
      </c>
      <c r="W158">
        <v>27.2</v>
      </c>
      <c r="X158">
        <v>10</v>
      </c>
      <c r="Y158" t="s">
        <v>35</v>
      </c>
    </row>
    <row r="159" spans="1:25">
      <c r="A159" t="s">
        <v>660</v>
      </c>
      <c r="B159" s="2" t="str">
        <f>Hyperlink("https://www.diodes.com/datasheet/download/DMG3401LSN.pdf")</f>
        <v>https://www.diodes.com/datasheet/download/DMG3401LSN.pdf</v>
      </c>
      <c r="C159" t="str">
        <f>Hyperlink("https://www.diodes.com/part/view/DMG3401LSN","DMG3401LSN")</f>
        <v>DMG3401LSN</v>
      </c>
      <c r="D159" t="s">
        <v>661</v>
      </c>
      <c r="E159" t="s">
        <v>27</v>
      </c>
      <c r="F159" t="s">
        <v>28</v>
      </c>
      <c r="G159" t="s">
        <v>75</v>
      </c>
      <c r="H159" t="s">
        <v>30</v>
      </c>
      <c r="I159">
        <v>30</v>
      </c>
      <c r="J159">
        <v>12</v>
      </c>
      <c r="K159">
        <v>3.7</v>
      </c>
      <c r="M159">
        <v>1.2</v>
      </c>
      <c r="O159">
        <v>50</v>
      </c>
      <c r="P159">
        <v>60</v>
      </c>
      <c r="Q159">
        <v>85</v>
      </c>
      <c r="T159">
        <v>1.3</v>
      </c>
      <c r="U159">
        <v>11.6</v>
      </c>
      <c r="V159">
        <v>25.1</v>
      </c>
      <c r="W159">
        <v>1326</v>
      </c>
      <c r="Y159" t="s">
        <v>98</v>
      </c>
    </row>
    <row r="160" spans="1:25">
      <c r="A160" t="s">
        <v>662</v>
      </c>
      <c r="B160" s="2" t="str">
        <f>Hyperlink("https://www.diodes.com/datasheet/download/DMG3401LSNQ.pdf")</f>
        <v>https://www.diodes.com/datasheet/download/DMG3401LSNQ.pdf</v>
      </c>
      <c r="C160" t="str">
        <f>Hyperlink("https://www.diodes.com/part/view/DMG3401LSNQ","DMG3401LSNQ")</f>
        <v>DMG3401LSNQ</v>
      </c>
      <c r="D160" t="s">
        <v>661</v>
      </c>
      <c r="E160" t="s">
        <v>27</v>
      </c>
      <c r="F160" t="s">
        <v>37</v>
      </c>
      <c r="G160" t="s">
        <v>75</v>
      </c>
      <c r="H160" t="s">
        <v>30</v>
      </c>
      <c r="I160">
        <v>30</v>
      </c>
      <c r="J160">
        <v>12</v>
      </c>
      <c r="K160">
        <v>3.7</v>
      </c>
      <c r="M160">
        <v>1.2</v>
      </c>
      <c r="O160">
        <v>50</v>
      </c>
      <c r="P160">
        <v>60</v>
      </c>
      <c r="Q160">
        <v>85</v>
      </c>
      <c r="T160">
        <v>1.3</v>
      </c>
      <c r="U160">
        <v>11.6</v>
      </c>
      <c r="V160">
        <v>25.1</v>
      </c>
      <c r="W160">
        <v>1326</v>
      </c>
      <c r="X160">
        <v>15</v>
      </c>
      <c r="Y160" t="s">
        <v>98</v>
      </c>
    </row>
    <row r="161" spans="1:25">
      <c r="A161" t="s">
        <v>663</v>
      </c>
      <c r="B161" s="2" t="str">
        <f>Hyperlink("https://www.diodes.com/datasheet/download/DMG3402L.pdf")</f>
        <v>https://www.diodes.com/datasheet/download/DMG3402L.pdf</v>
      </c>
      <c r="C161" t="str">
        <f>Hyperlink("https://www.diodes.com/part/view/DMG3402L","DMG3402L")</f>
        <v>DMG3402L</v>
      </c>
      <c r="D161" t="s">
        <v>26</v>
      </c>
      <c r="E161" t="s">
        <v>27</v>
      </c>
      <c r="F161" t="s">
        <v>28</v>
      </c>
      <c r="G161" t="s">
        <v>29</v>
      </c>
      <c r="H161" t="s">
        <v>30</v>
      </c>
      <c r="I161">
        <v>30</v>
      </c>
      <c r="J161">
        <v>12</v>
      </c>
      <c r="K161">
        <v>4</v>
      </c>
      <c r="M161">
        <v>1.4</v>
      </c>
      <c r="O161">
        <v>52</v>
      </c>
      <c r="P161">
        <v>65</v>
      </c>
      <c r="Q161">
        <v>85</v>
      </c>
      <c r="T161">
        <v>1.4</v>
      </c>
      <c r="U161">
        <v>5.5</v>
      </c>
      <c r="V161">
        <v>11.7</v>
      </c>
      <c r="W161">
        <v>464</v>
      </c>
      <c r="Y161" t="s">
        <v>35</v>
      </c>
    </row>
    <row r="162" spans="1:25">
      <c r="A162" t="s">
        <v>664</v>
      </c>
      <c r="B162" s="2" t="str">
        <f>Hyperlink("https://www.diodes.com/datasheet/download/DMG3402LQ.pdf")</f>
        <v>https://www.diodes.com/datasheet/download/DMG3402LQ.pdf</v>
      </c>
      <c r="C162" t="str">
        <f>Hyperlink("https://www.diodes.com/part/view/DMG3402LQ","DMG3402LQ")</f>
        <v>DMG3402LQ</v>
      </c>
      <c r="D162" t="s">
        <v>26</v>
      </c>
      <c r="E162" t="s">
        <v>27</v>
      </c>
      <c r="F162" t="s">
        <v>37</v>
      </c>
      <c r="G162" t="s">
        <v>29</v>
      </c>
      <c r="H162" t="s">
        <v>30</v>
      </c>
      <c r="I162">
        <v>30</v>
      </c>
      <c r="J162">
        <v>12</v>
      </c>
      <c r="K162">
        <v>4</v>
      </c>
      <c r="M162">
        <v>1.4</v>
      </c>
      <c r="O162">
        <v>52</v>
      </c>
      <c r="P162">
        <v>65</v>
      </c>
      <c r="Q162">
        <v>85</v>
      </c>
      <c r="T162">
        <v>1.4</v>
      </c>
      <c r="U162">
        <v>5.5</v>
      </c>
      <c r="V162">
        <v>11.7</v>
      </c>
      <c r="W162">
        <v>464</v>
      </c>
      <c r="X162">
        <v>15</v>
      </c>
      <c r="Y162" t="s">
        <v>35</v>
      </c>
    </row>
    <row r="163" spans="1:25">
      <c r="A163" t="s">
        <v>665</v>
      </c>
      <c r="B163" s="2" t="str">
        <f>Hyperlink("https://www.diodes.com/datasheet/download/DMG3404L.pdf")</f>
        <v>https://www.diodes.com/datasheet/download/DMG3404L.pdf</v>
      </c>
      <c r="C163" t="str">
        <f>Hyperlink("https://www.diodes.com/part/view/DMG3404L","DMG3404L")</f>
        <v>DMG3404L</v>
      </c>
      <c r="D163" t="s">
        <v>666</v>
      </c>
      <c r="E163" t="s">
        <v>30</v>
      </c>
      <c r="F163" t="s">
        <v>28</v>
      </c>
      <c r="G163" t="s">
        <v>29</v>
      </c>
      <c r="H163" t="s">
        <v>30</v>
      </c>
      <c r="I163">
        <v>30</v>
      </c>
      <c r="J163">
        <v>20</v>
      </c>
      <c r="K163">
        <v>5.8</v>
      </c>
      <c r="M163">
        <v>1.33</v>
      </c>
      <c r="O163">
        <v>25</v>
      </c>
      <c r="P163">
        <v>35</v>
      </c>
      <c r="T163">
        <v>2</v>
      </c>
      <c r="V163">
        <v>13.2</v>
      </c>
      <c r="W163">
        <v>641</v>
      </c>
      <c r="X163">
        <v>15</v>
      </c>
      <c r="Y163" t="s">
        <v>35</v>
      </c>
    </row>
    <row r="164" spans="1:25">
      <c r="A164" t="s">
        <v>667</v>
      </c>
      <c r="B164" s="2" t="str">
        <f>Hyperlink("https://www.diodes.com/datasheet/download/DMG3406L.pdf")</f>
        <v>https://www.diodes.com/datasheet/download/DMG3406L.pdf</v>
      </c>
      <c r="C164" t="str">
        <f>Hyperlink("https://www.diodes.com/part/view/DMG3406L","DMG3406L")</f>
        <v>DMG3406L</v>
      </c>
      <c r="D164" t="s">
        <v>666</v>
      </c>
      <c r="E164" t="s">
        <v>30</v>
      </c>
      <c r="F164" t="s">
        <v>28</v>
      </c>
      <c r="G164" t="s">
        <v>29</v>
      </c>
      <c r="H164" t="s">
        <v>30</v>
      </c>
      <c r="I164">
        <v>30</v>
      </c>
      <c r="J164">
        <v>20</v>
      </c>
      <c r="K164">
        <v>3.6</v>
      </c>
      <c r="M164">
        <v>1.4</v>
      </c>
      <c r="O164">
        <v>50</v>
      </c>
      <c r="P164">
        <v>70</v>
      </c>
      <c r="T164">
        <v>2</v>
      </c>
      <c r="U164">
        <v>5.3</v>
      </c>
      <c r="V164">
        <v>11.2</v>
      </c>
      <c r="W164">
        <v>495</v>
      </c>
      <c r="X164">
        <v>15</v>
      </c>
      <c r="Y164" t="s">
        <v>35</v>
      </c>
    </row>
    <row r="165" spans="1:25">
      <c r="A165" t="s">
        <v>668</v>
      </c>
      <c r="B165" s="2" t="str">
        <f>Hyperlink("https://www.diodes.com/datasheet/download/DMG3407SSN.pdf")</f>
        <v>https://www.diodes.com/datasheet/download/DMG3407SSN.pdf</v>
      </c>
      <c r="C165" t="str">
        <f>Hyperlink("https://www.diodes.com/part/view/DMG3407SSN","DMG3407SSN")</f>
        <v>DMG3407SSN</v>
      </c>
      <c r="D165" t="s">
        <v>74</v>
      </c>
      <c r="E165" t="s">
        <v>27</v>
      </c>
      <c r="F165" t="s">
        <v>28</v>
      </c>
      <c r="G165" t="s">
        <v>75</v>
      </c>
      <c r="H165" t="s">
        <v>30</v>
      </c>
      <c r="I165">
        <v>30</v>
      </c>
      <c r="J165">
        <v>20</v>
      </c>
      <c r="K165">
        <v>4</v>
      </c>
      <c r="M165">
        <v>1.1</v>
      </c>
      <c r="O165">
        <v>50</v>
      </c>
      <c r="P165">
        <v>72</v>
      </c>
      <c r="T165">
        <v>2.1</v>
      </c>
      <c r="U165">
        <v>6.5</v>
      </c>
      <c r="V165">
        <v>13.3</v>
      </c>
      <c r="W165">
        <v>582</v>
      </c>
      <c r="Y165" t="s">
        <v>98</v>
      </c>
    </row>
    <row r="166" spans="1:25">
      <c r="A166" t="s">
        <v>669</v>
      </c>
      <c r="B166" s="2" t="str">
        <f>Hyperlink("https://www.diodes.com/datasheet/download/DMG3413L.pdf")</f>
        <v>https://www.diodes.com/datasheet/download/DMG3413L.pdf</v>
      </c>
      <c r="C166" t="str">
        <f>Hyperlink("https://www.diodes.com/part/view/DMG3413L","DMG3413L")</f>
        <v>DMG3413L</v>
      </c>
      <c r="D166" t="s">
        <v>74</v>
      </c>
      <c r="E166" t="s">
        <v>27</v>
      </c>
      <c r="F166" t="s">
        <v>28</v>
      </c>
      <c r="G166" t="s">
        <v>75</v>
      </c>
      <c r="H166" t="s">
        <v>30</v>
      </c>
      <c r="I166">
        <v>20</v>
      </c>
      <c r="J166">
        <v>8</v>
      </c>
      <c r="K166">
        <v>3</v>
      </c>
      <c r="M166">
        <v>1.3</v>
      </c>
      <c r="P166">
        <v>95</v>
      </c>
      <c r="Q166">
        <v>130</v>
      </c>
      <c r="R166">
        <v>190</v>
      </c>
      <c r="S166">
        <v>0.6</v>
      </c>
      <c r="T166">
        <v>1.3</v>
      </c>
      <c r="U166">
        <v>9</v>
      </c>
      <c r="W166">
        <v>857</v>
      </c>
      <c r="X166">
        <v>10</v>
      </c>
      <c r="Y166" t="s">
        <v>35</v>
      </c>
    </row>
    <row r="167" spans="1:25">
      <c r="A167" t="s">
        <v>670</v>
      </c>
      <c r="B167" s="2" t="str">
        <f>Hyperlink("https://www.diodes.com/datasheet/download/DMG3414U.pdf")</f>
        <v>https://www.diodes.com/datasheet/download/DMG3414U.pdf</v>
      </c>
      <c r="C167" t="str">
        <f>Hyperlink("https://www.diodes.com/part/view/DMG3414U","DMG3414U")</f>
        <v>DMG3414U</v>
      </c>
      <c r="D167" t="s">
        <v>631</v>
      </c>
      <c r="E167" t="s">
        <v>27</v>
      </c>
      <c r="F167" t="s">
        <v>28</v>
      </c>
      <c r="G167" t="s">
        <v>29</v>
      </c>
      <c r="H167" t="s">
        <v>30</v>
      </c>
      <c r="I167">
        <v>20</v>
      </c>
      <c r="J167">
        <v>8</v>
      </c>
      <c r="K167">
        <v>4.2</v>
      </c>
      <c r="M167">
        <v>0.78</v>
      </c>
      <c r="P167">
        <v>25</v>
      </c>
      <c r="Q167">
        <v>29</v>
      </c>
      <c r="R167">
        <v>37</v>
      </c>
      <c r="S167">
        <v>0.5</v>
      </c>
      <c r="T167">
        <v>0.9</v>
      </c>
      <c r="U167">
        <v>9.6</v>
      </c>
      <c r="W167">
        <v>830</v>
      </c>
      <c r="Y167" t="s">
        <v>35</v>
      </c>
    </row>
    <row r="168" spans="1:25">
      <c r="A168" t="s">
        <v>671</v>
      </c>
      <c r="B168" s="2" t="str">
        <f>Hyperlink("https://www.diodes.com/datasheet/download/DMG3414UQ.pdf")</f>
        <v>https://www.diodes.com/datasheet/download/DMG3414UQ.pdf</v>
      </c>
      <c r="C168" t="str">
        <f>Hyperlink("https://www.diodes.com/part/view/DMG3414UQ","DMG3414UQ")</f>
        <v>DMG3414UQ</v>
      </c>
      <c r="D168" t="s">
        <v>26</v>
      </c>
      <c r="E168" t="s">
        <v>27</v>
      </c>
      <c r="F168" t="s">
        <v>37</v>
      </c>
      <c r="G168" t="s">
        <v>29</v>
      </c>
      <c r="H168" t="s">
        <v>30</v>
      </c>
      <c r="I168">
        <v>20</v>
      </c>
      <c r="J168">
        <v>8</v>
      </c>
      <c r="K168">
        <v>4.2</v>
      </c>
      <c r="M168">
        <v>0.78</v>
      </c>
      <c r="P168">
        <v>25</v>
      </c>
      <c r="Q168">
        <v>29</v>
      </c>
      <c r="R168">
        <v>37</v>
      </c>
      <c r="S168">
        <v>0.5</v>
      </c>
      <c r="T168">
        <v>0.9</v>
      </c>
      <c r="U168">
        <v>9.6</v>
      </c>
      <c r="W168">
        <v>829.9</v>
      </c>
      <c r="X168">
        <v>10</v>
      </c>
      <c r="Y168" t="s">
        <v>35</v>
      </c>
    </row>
    <row r="169" spans="1:25">
      <c r="A169" t="s">
        <v>672</v>
      </c>
      <c r="B169" s="2" t="str">
        <f>Hyperlink("https://www.diodes.com/datasheet/download/DMG3415UFY4Q.pdf")</f>
        <v>https://www.diodes.com/datasheet/download/DMG3415UFY4Q.pdf</v>
      </c>
      <c r="C169" t="str">
        <f>Hyperlink("https://www.diodes.com/part/view/DMG3415UFY4Q","DMG3415UFY4Q")</f>
        <v>DMG3415UFY4Q</v>
      </c>
      <c r="D169" t="s">
        <v>74</v>
      </c>
      <c r="E169" t="s">
        <v>27</v>
      </c>
      <c r="F169" t="s">
        <v>37</v>
      </c>
      <c r="G169" t="s">
        <v>75</v>
      </c>
      <c r="H169" t="s">
        <v>27</v>
      </c>
      <c r="I169">
        <v>16</v>
      </c>
      <c r="J169">
        <v>8</v>
      </c>
      <c r="K169">
        <v>2.5</v>
      </c>
      <c r="M169">
        <v>1.35</v>
      </c>
      <c r="O169">
        <v>39</v>
      </c>
      <c r="P169">
        <v>52</v>
      </c>
      <c r="Q169">
        <v>65</v>
      </c>
      <c r="S169">
        <v>0.3</v>
      </c>
      <c r="T169">
        <v>1</v>
      </c>
      <c r="U169">
        <v>10</v>
      </c>
      <c r="W169">
        <v>282</v>
      </c>
      <c r="X169">
        <v>10</v>
      </c>
      <c r="Y169" t="s">
        <v>673</v>
      </c>
    </row>
    <row r="170" spans="1:25">
      <c r="A170" t="s">
        <v>674</v>
      </c>
      <c r="B170" s="2" t="str">
        <f>Hyperlink("https://www.diodes.com/datasheet/download/DMG3418L.pdf")</f>
        <v>https://www.diodes.com/datasheet/download/DMG3418L.pdf</v>
      </c>
      <c r="C170" t="str">
        <f>Hyperlink("https://www.diodes.com/part/view/DMG3418L","DMG3418L")</f>
        <v>DMG3418L</v>
      </c>
      <c r="D170" t="s">
        <v>26</v>
      </c>
      <c r="E170" t="s">
        <v>27</v>
      </c>
      <c r="F170" t="s">
        <v>28</v>
      </c>
      <c r="G170" t="s">
        <v>29</v>
      </c>
      <c r="H170" t="s">
        <v>30</v>
      </c>
      <c r="I170">
        <v>30</v>
      </c>
      <c r="J170">
        <v>12</v>
      </c>
      <c r="K170">
        <v>4</v>
      </c>
      <c r="M170">
        <v>1.4</v>
      </c>
      <c r="O170">
        <v>60</v>
      </c>
      <c r="P170">
        <v>70</v>
      </c>
      <c r="Q170">
        <v>150</v>
      </c>
      <c r="T170">
        <v>1.5</v>
      </c>
      <c r="U170">
        <v>5.5</v>
      </c>
      <c r="W170">
        <v>464</v>
      </c>
      <c r="Y170" t="s">
        <v>35</v>
      </c>
    </row>
    <row r="171" spans="1:25">
      <c r="A171" t="s">
        <v>675</v>
      </c>
      <c r="B171" s="2" t="str">
        <f>Hyperlink("https://www.diodes.com/datasheet/download/DMG3420UQ+.pdf")</f>
        <v>https://www.diodes.com/datasheet/download/DMG3420UQ+.pdf</v>
      </c>
      <c r="C171" t="str">
        <f>Hyperlink("https://www.diodes.com/part/view/DMG3420UQ","DMG3420UQ")</f>
        <v>DMG3420UQ</v>
      </c>
      <c r="D171" t="s">
        <v>26</v>
      </c>
      <c r="E171" t="s">
        <v>27</v>
      </c>
      <c r="F171" t="s">
        <v>37</v>
      </c>
      <c r="G171" t="s">
        <v>29</v>
      </c>
      <c r="H171" t="s">
        <v>30</v>
      </c>
      <c r="I171">
        <v>20</v>
      </c>
      <c r="J171">
        <v>12</v>
      </c>
      <c r="K171">
        <v>5.47</v>
      </c>
      <c r="M171">
        <v>0.74</v>
      </c>
      <c r="O171">
        <v>29</v>
      </c>
      <c r="P171">
        <v>35</v>
      </c>
      <c r="Q171">
        <v>48</v>
      </c>
      <c r="R171">
        <v>91</v>
      </c>
      <c r="S171">
        <v>0.5</v>
      </c>
      <c r="T171">
        <v>1.2</v>
      </c>
      <c r="U171">
        <v>5.4</v>
      </c>
      <c r="W171">
        <v>434</v>
      </c>
      <c r="X171">
        <v>10</v>
      </c>
      <c r="Y171" t="s">
        <v>35</v>
      </c>
    </row>
    <row r="172" spans="1:25">
      <c r="A172" t="s">
        <v>676</v>
      </c>
      <c r="B172" s="2" t="str">
        <f>Hyperlink("https://www.diodes.com/datasheet/download/DMG4466SSS.pdf")</f>
        <v>https://www.diodes.com/datasheet/download/DMG4466SSS.pdf</v>
      </c>
      <c r="C172" t="str">
        <f>Hyperlink("https://www.diodes.com/part/view/DMG4466SSS","DMG4466SSS")</f>
        <v>DMG4466SSS</v>
      </c>
      <c r="D172" t="s">
        <v>26</v>
      </c>
      <c r="E172" t="s">
        <v>27</v>
      </c>
      <c r="F172" t="s">
        <v>28</v>
      </c>
      <c r="G172" t="s">
        <v>29</v>
      </c>
      <c r="H172" t="s">
        <v>30</v>
      </c>
      <c r="I172">
        <v>30</v>
      </c>
      <c r="J172">
        <v>25</v>
      </c>
      <c r="K172">
        <v>10</v>
      </c>
      <c r="M172">
        <v>1.42</v>
      </c>
      <c r="O172">
        <v>23</v>
      </c>
      <c r="P172">
        <v>33</v>
      </c>
      <c r="T172">
        <v>2.4</v>
      </c>
      <c r="U172">
        <v>5</v>
      </c>
      <c r="V172">
        <v>10.5</v>
      </c>
      <c r="W172">
        <v>479</v>
      </c>
      <c r="Y172" t="s">
        <v>213</v>
      </c>
    </row>
    <row r="173" spans="1:25">
      <c r="A173" t="s">
        <v>677</v>
      </c>
      <c r="B173" s="2" t="str">
        <f>Hyperlink("https://www.diodes.com/datasheet/download/DMG4466SSSL.pdf")</f>
        <v>https://www.diodes.com/datasheet/download/DMG4466SSSL.pdf</v>
      </c>
      <c r="C173" t="str">
        <f>Hyperlink("https://www.diodes.com/part/view/DMG4466SSSL","DMG4466SSSL")</f>
        <v>DMG4466SSSL</v>
      </c>
      <c r="D173" t="s">
        <v>26</v>
      </c>
      <c r="E173" t="s">
        <v>27</v>
      </c>
      <c r="F173" t="s">
        <v>28</v>
      </c>
      <c r="G173" t="s">
        <v>29</v>
      </c>
      <c r="H173" t="s">
        <v>30</v>
      </c>
      <c r="I173">
        <v>30</v>
      </c>
      <c r="J173">
        <v>20</v>
      </c>
      <c r="K173">
        <v>10</v>
      </c>
      <c r="M173">
        <v>1.42</v>
      </c>
      <c r="O173">
        <v>23</v>
      </c>
      <c r="P173">
        <v>33</v>
      </c>
      <c r="T173">
        <v>2.4</v>
      </c>
      <c r="U173">
        <v>5</v>
      </c>
      <c r="V173">
        <v>10.5</v>
      </c>
      <c r="W173">
        <v>479</v>
      </c>
      <c r="Y173" t="s">
        <v>213</v>
      </c>
    </row>
    <row r="174" spans="1:25">
      <c r="A174" t="s">
        <v>678</v>
      </c>
      <c r="B174" s="2" t="str">
        <f>Hyperlink("https://www.diodes.com/datasheet/download/DMG4468LFG.pdf")</f>
        <v>https://www.diodes.com/datasheet/download/DMG4468LFG.pdf</v>
      </c>
      <c r="C174" t="str">
        <f>Hyperlink("https://www.diodes.com/part/view/DMG4468LFG","DMG4468LFG")</f>
        <v>DMG4468LFG</v>
      </c>
      <c r="D174" t="s">
        <v>26</v>
      </c>
      <c r="E174" t="s">
        <v>27</v>
      </c>
      <c r="F174" t="s">
        <v>28</v>
      </c>
      <c r="G174" t="s">
        <v>29</v>
      </c>
      <c r="H174" t="s">
        <v>30</v>
      </c>
      <c r="I174">
        <v>30</v>
      </c>
      <c r="J174">
        <v>20</v>
      </c>
      <c r="K174">
        <v>7.62</v>
      </c>
      <c r="M174">
        <v>0.99</v>
      </c>
      <c r="O174">
        <v>15</v>
      </c>
      <c r="P174">
        <v>23.5</v>
      </c>
      <c r="T174">
        <v>2</v>
      </c>
      <c r="V174">
        <v>18.85</v>
      </c>
      <c r="W174">
        <v>867</v>
      </c>
      <c r="Y174" t="s">
        <v>679</v>
      </c>
    </row>
    <row r="175" spans="1:25">
      <c r="A175" t="s">
        <v>680</v>
      </c>
      <c r="B175" s="2" t="str">
        <f>Hyperlink("https://www.diodes.com/datasheet/download/DMG4468LK3.pdf")</f>
        <v>https://www.diodes.com/datasheet/download/DMG4468LK3.pdf</v>
      </c>
      <c r="C175" t="str">
        <f>Hyperlink("https://www.diodes.com/part/view/DMG4468LK3","DMG4468LK3")</f>
        <v>DMG4468LK3</v>
      </c>
      <c r="D175" t="s">
        <v>26</v>
      </c>
      <c r="E175" t="s">
        <v>27</v>
      </c>
      <c r="F175" t="s">
        <v>28</v>
      </c>
      <c r="G175" t="s">
        <v>29</v>
      </c>
      <c r="H175" t="s">
        <v>30</v>
      </c>
      <c r="I175">
        <v>30</v>
      </c>
      <c r="J175">
        <v>20</v>
      </c>
      <c r="K175">
        <v>9.7</v>
      </c>
      <c r="M175">
        <v>1.68</v>
      </c>
      <c r="O175">
        <v>16</v>
      </c>
      <c r="P175">
        <v>25</v>
      </c>
      <c r="T175">
        <v>1.95</v>
      </c>
      <c r="V175">
        <v>18.85</v>
      </c>
      <c r="W175">
        <v>867</v>
      </c>
      <c r="Y175" t="s">
        <v>681</v>
      </c>
    </row>
    <row r="176" spans="1:25">
      <c r="A176" t="s">
        <v>682</v>
      </c>
      <c r="B176" s="2" t="str">
        <f>Hyperlink("https://www.diodes.com/datasheet/download/DMG4496SSS.pdf")</f>
        <v>https://www.diodes.com/datasheet/download/DMG4496SSS.pdf</v>
      </c>
      <c r="C176" t="str">
        <f>Hyperlink("https://www.diodes.com/part/view/DMG4496SSS","DMG4496SSS")</f>
        <v>DMG4496SSS</v>
      </c>
      <c r="D176" t="s">
        <v>26</v>
      </c>
      <c r="E176" t="s">
        <v>27</v>
      </c>
      <c r="F176" t="s">
        <v>28</v>
      </c>
      <c r="G176" t="s">
        <v>29</v>
      </c>
      <c r="H176" t="s">
        <v>30</v>
      </c>
      <c r="I176">
        <v>30</v>
      </c>
      <c r="J176">
        <v>25</v>
      </c>
      <c r="K176">
        <v>10</v>
      </c>
      <c r="M176">
        <v>1.42</v>
      </c>
      <c r="O176">
        <v>21.5</v>
      </c>
      <c r="P176">
        <v>29</v>
      </c>
      <c r="T176">
        <v>2</v>
      </c>
      <c r="U176">
        <v>4.7</v>
      </c>
      <c r="V176">
        <v>10.2</v>
      </c>
      <c r="W176">
        <v>493.5</v>
      </c>
      <c r="Y176" t="s">
        <v>213</v>
      </c>
    </row>
    <row r="177" spans="1:25">
      <c r="A177" t="s">
        <v>683</v>
      </c>
      <c r="B177" s="2" t="str">
        <f>Hyperlink("https://www.diodes.com/datasheet/download/DMG4511SK4.pdf")</f>
        <v>https://www.diodes.com/datasheet/download/DMG4511SK4.pdf</v>
      </c>
      <c r="C177" t="str">
        <f>Hyperlink("https://www.diodes.com/part/view/DMG4511SK4","DMG4511SK4")</f>
        <v>DMG4511SK4</v>
      </c>
      <c r="D177" t="s">
        <v>113</v>
      </c>
      <c r="E177" t="s">
        <v>27</v>
      </c>
      <c r="F177" t="s">
        <v>28</v>
      </c>
      <c r="G177" t="s">
        <v>114</v>
      </c>
      <c r="H177" t="s">
        <v>30</v>
      </c>
      <c r="I177" t="s">
        <v>684</v>
      </c>
      <c r="J177" t="s">
        <v>116</v>
      </c>
      <c r="K177" t="s">
        <v>685</v>
      </c>
      <c r="M177">
        <v>4.1</v>
      </c>
      <c r="O177" t="s">
        <v>686</v>
      </c>
      <c r="P177" t="s">
        <v>687</v>
      </c>
      <c r="T177" t="s">
        <v>219</v>
      </c>
      <c r="U177" t="s">
        <v>688</v>
      </c>
      <c r="V177" t="s">
        <v>689</v>
      </c>
      <c r="W177" t="s">
        <v>690</v>
      </c>
      <c r="X177" t="s">
        <v>148</v>
      </c>
      <c r="Y177" t="s">
        <v>563</v>
      </c>
    </row>
    <row r="178" spans="1:25">
      <c r="A178" t="s">
        <v>691</v>
      </c>
      <c r="B178" s="2" t="str">
        <f>Hyperlink("https://www.diodes.com/datasheet/download/DMG4800LFG.pdf")</f>
        <v>https://www.diodes.com/datasheet/download/DMG4800LFG.pdf</v>
      </c>
      <c r="C178" t="str">
        <f>Hyperlink("https://www.diodes.com/part/view/DMG4800LFG","DMG4800LFG")</f>
        <v>DMG4800LFG</v>
      </c>
      <c r="D178" t="s">
        <v>26</v>
      </c>
      <c r="E178" t="s">
        <v>27</v>
      </c>
      <c r="F178" t="s">
        <v>28</v>
      </c>
      <c r="G178" t="s">
        <v>29</v>
      </c>
      <c r="H178" t="s">
        <v>30</v>
      </c>
      <c r="I178">
        <v>30</v>
      </c>
      <c r="J178">
        <v>25</v>
      </c>
      <c r="K178">
        <v>7.44</v>
      </c>
      <c r="M178">
        <v>0.94</v>
      </c>
      <c r="O178">
        <v>17</v>
      </c>
      <c r="P178">
        <v>24</v>
      </c>
      <c r="T178">
        <v>1.5</v>
      </c>
      <c r="U178" t="s">
        <v>692</v>
      </c>
      <c r="W178">
        <v>798</v>
      </c>
      <c r="Y178" t="s">
        <v>679</v>
      </c>
    </row>
    <row r="179" spans="1:25">
      <c r="A179" t="s">
        <v>693</v>
      </c>
      <c r="B179" s="2" t="str">
        <f>Hyperlink("https://www.diodes.com/datasheet/download/DMG4800LK3.pdf")</f>
        <v>https://www.diodes.com/datasheet/download/DMG4800LK3.pdf</v>
      </c>
      <c r="C179" t="str">
        <f>Hyperlink("https://www.diodes.com/part/view/DMG4800LK3","DMG4800LK3")</f>
        <v>DMG4800LK3</v>
      </c>
      <c r="D179" t="s">
        <v>26</v>
      </c>
      <c r="E179" t="s">
        <v>27</v>
      </c>
      <c r="F179" t="s">
        <v>28</v>
      </c>
      <c r="G179" t="s">
        <v>29</v>
      </c>
      <c r="H179" t="s">
        <v>30</v>
      </c>
      <c r="I179">
        <v>30</v>
      </c>
      <c r="J179">
        <v>25</v>
      </c>
      <c r="K179">
        <v>10</v>
      </c>
      <c r="M179">
        <v>1.7</v>
      </c>
      <c r="O179">
        <v>17</v>
      </c>
      <c r="P179">
        <v>24</v>
      </c>
      <c r="T179">
        <v>1.6</v>
      </c>
      <c r="U179" t="s">
        <v>694</v>
      </c>
      <c r="W179">
        <v>798</v>
      </c>
      <c r="Y179" t="s">
        <v>681</v>
      </c>
    </row>
    <row r="180" spans="1:25">
      <c r="A180" t="s">
        <v>695</v>
      </c>
      <c r="B180" s="2" t="str">
        <f>Hyperlink("https://www.diodes.com/datasheet/download/DMG4800LSD.pdf")</f>
        <v>https://www.diodes.com/datasheet/download/DMG4800LSD.pdf</v>
      </c>
      <c r="C180" t="str">
        <f>Hyperlink("https://www.diodes.com/part/view/DMG4800LSD","DMG4800LSD")</f>
        <v>DMG4800LSD</v>
      </c>
      <c r="D180" t="s">
        <v>39</v>
      </c>
      <c r="E180" t="s">
        <v>27</v>
      </c>
      <c r="F180" t="s">
        <v>28</v>
      </c>
      <c r="G180" t="s">
        <v>40</v>
      </c>
      <c r="H180" t="s">
        <v>30</v>
      </c>
      <c r="I180">
        <v>30</v>
      </c>
      <c r="J180">
        <v>25</v>
      </c>
      <c r="K180">
        <v>9.8</v>
      </c>
      <c r="M180">
        <v>1.5</v>
      </c>
      <c r="O180">
        <v>16</v>
      </c>
      <c r="P180">
        <v>22</v>
      </c>
      <c r="T180">
        <v>1.6</v>
      </c>
      <c r="U180" t="s">
        <v>696</v>
      </c>
      <c r="W180">
        <v>798</v>
      </c>
      <c r="Y180" t="s">
        <v>213</v>
      </c>
    </row>
    <row r="181" spans="1:25">
      <c r="A181" t="s">
        <v>697</v>
      </c>
      <c r="B181" s="2" t="str">
        <f>Hyperlink("https://www.diodes.com/datasheet/download/DMG4822SSD.pdf")</f>
        <v>https://www.diodes.com/datasheet/download/DMG4822SSD.pdf</v>
      </c>
      <c r="C181" t="str">
        <f>Hyperlink("https://www.diodes.com/part/view/DMG4822SSD","DMG4822SSD")</f>
        <v>DMG4822SSD</v>
      </c>
      <c r="D181" t="s">
        <v>39</v>
      </c>
      <c r="E181" t="s">
        <v>27</v>
      </c>
      <c r="F181" t="s">
        <v>28</v>
      </c>
      <c r="G181" t="s">
        <v>40</v>
      </c>
      <c r="H181" t="s">
        <v>30</v>
      </c>
      <c r="I181">
        <v>30</v>
      </c>
      <c r="J181">
        <v>25</v>
      </c>
      <c r="K181">
        <v>10</v>
      </c>
      <c r="M181">
        <v>1.42</v>
      </c>
      <c r="O181">
        <v>20</v>
      </c>
      <c r="P181">
        <v>31</v>
      </c>
      <c r="T181">
        <v>3</v>
      </c>
      <c r="U181">
        <v>5</v>
      </c>
      <c r="V181">
        <v>10.5</v>
      </c>
      <c r="W181">
        <v>479</v>
      </c>
      <c r="Y181" t="s">
        <v>213</v>
      </c>
    </row>
    <row r="182" spans="1:25">
      <c r="A182" t="s">
        <v>698</v>
      </c>
      <c r="B182" s="2" t="str">
        <f>Hyperlink("https://www.diodes.com/datasheet/download/DMG5802LFX.pdf")</f>
        <v>https://www.diodes.com/datasheet/download/DMG5802LFX.pdf</v>
      </c>
      <c r="C182" t="str">
        <f>Hyperlink("https://www.diodes.com/part/view/DMG5802LFX","DMG5802LFX")</f>
        <v>DMG5802LFX</v>
      </c>
      <c r="D182" t="s">
        <v>631</v>
      </c>
      <c r="E182" t="s">
        <v>27</v>
      </c>
      <c r="F182" t="s">
        <v>28</v>
      </c>
      <c r="G182" t="s">
        <v>40</v>
      </c>
      <c r="H182" t="s">
        <v>27</v>
      </c>
      <c r="I182">
        <v>24</v>
      </c>
      <c r="J182">
        <v>12</v>
      </c>
      <c r="K182">
        <v>6.5</v>
      </c>
      <c r="M182">
        <v>0.98</v>
      </c>
      <c r="P182">
        <v>15</v>
      </c>
      <c r="Q182">
        <v>20</v>
      </c>
      <c r="T182">
        <v>1.5</v>
      </c>
      <c r="U182">
        <v>14.5</v>
      </c>
      <c r="V182">
        <v>31.3</v>
      </c>
      <c r="W182">
        <v>1080</v>
      </c>
      <c r="Y182" t="s">
        <v>699</v>
      </c>
    </row>
    <row r="183" spans="1:25">
      <c r="A183" t="s">
        <v>700</v>
      </c>
      <c r="B183" s="2" t="str">
        <f>Hyperlink("https://www.diodes.com/datasheet/download/DMG6301UDW.pdf")</f>
        <v>https://www.diodes.com/datasheet/download/DMG6301UDW.pdf</v>
      </c>
      <c r="C183" t="str">
        <f>Hyperlink("https://www.diodes.com/part/view/DMG6301UDW","DMG6301UDW")</f>
        <v>DMG6301UDW</v>
      </c>
      <c r="D183" t="s">
        <v>631</v>
      </c>
      <c r="E183" t="s">
        <v>27</v>
      </c>
      <c r="F183" t="s">
        <v>28</v>
      </c>
      <c r="G183" t="s">
        <v>40</v>
      </c>
      <c r="H183" t="s">
        <v>27</v>
      </c>
      <c r="I183">
        <v>25</v>
      </c>
      <c r="J183">
        <v>8</v>
      </c>
      <c r="K183">
        <v>0.24</v>
      </c>
      <c r="M183">
        <v>0.3</v>
      </c>
      <c r="P183">
        <v>4000</v>
      </c>
      <c r="Q183">
        <v>5000</v>
      </c>
      <c r="S183">
        <v>0.65</v>
      </c>
      <c r="T183">
        <v>1.5</v>
      </c>
      <c r="U183">
        <v>0.36</v>
      </c>
      <c r="W183">
        <v>27.9</v>
      </c>
      <c r="Y183" t="s">
        <v>42</v>
      </c>
    </row>
    <row r="184" spans="1:25">
      <c r="A184" t="s">
        <v>701</v>
      </c>
      <c r="B184" s="2" t="str">
        <f>Hyperlink("https://www.diodes.com/datasheet/download/DMG6302UDW.pdf")</f>
        <v>https://www.diodes.com/datasheet/download/DMG6302UDW.pdf</v>
      </c>
      <c r="C184" t="str">
        <f>Hyperlink("https://www.diodes.com/part/view/DMG6302UDW","DMG6302UDW")</f>
        <v>DMG6302UDW</v>
      </c>
      <c r="D184" t="s">
        <v>127</v>
      </c>
      <c r="E184" t="s">
        <v>30</v>
      </c>
      <c r="F184" t="s">
        <v>28</v>
      </c>
      <c r="G184" t="s">
        <v>124</v>
      </c>
      <c r="H184" t="s">
        <v>27</v>
      </c>
      <c r="I184">
        <v>25</v>
      </c>
      <c r="J184">
        <v>8</v>
      </c>
      <c r="K184">
        <v>0.15</v>
      </c>
      <c r="M184">
        <v>0.38</v>
      </c>
      <c r="P184">
        <v>10000</v>
      </c>
      <c r="Q184" t="s">
        <v>702</v>
      </c>
      <c r="S184">
        <v>0.65</v>
      </c>
      <c r="T184">
        <v>1.5</v>
      </c>
      <c r="U184">
        <v>0.34</v>
      </c>
      <c r="W184">
        <v>30.7</v>
      </c>
      <c r="X184">
        <v>10</v>
      </c>
      <c r="Y184" t="s">
        <v>42</v>
      </c>
    </row>
    <row r="185" spans="1:25">
      <c r="A185" t="s">
        <v>703</v>
      </c>
      <c r="B185" s="2" t="str">
        <f>Hyperlink("https://www.diodes.com/datasheet/download/DMG6402LVT.pdf")</f>
        <v>https://www.diodes.com/datasheet/download/DMG6402LVT.pdf</v>
      </c>
      <c r="C185" t="str">
        <f>Hyperlink("https://www.diodes.com/part/view/DMG6402LVT","DMG6402LVT")</f>
        <v>DMG6402LVT</v>
      </c>
      <c r="D185" t="s">
        <v>26</v>
      </c>
      <c r="E185" t="s">
        <v>27</v>
      </c>
      <c r="F185" t="s">
        <v>28</v>
      </c>
      <c r="G185" t="s">
        <v>29</v>
      </c>
      <c r="H185" t="s">
        <v>30</v>
      </c>
      <c r="I185">
        <v>30</v>
      </c>
      <c r="J185">
        <v>20</v>
      </c>
      <c r="K185">
        <v>6</v>
      </c>
      <c r="M185">
        <v>1.75</v>
      </c>
      <c r="O185">
        <v>30</v>
      </c>
      <c r="P185">
        <v>42</v>
      </c>
      <c r="T185">
        <v>2</v>
      </c>
      <c r="V185">
        <v>11.4</v>
      </c>
      <c r="W185">
        <v>498</v>
      </c>
      <c r="Y185" t="s">
        <v>183</v>
      </c>
    </row>
    <row r="186" spans="1:25">
      <c r="A186" t="s">
        <v>704</v>
      </c>
      <c r="B186" s="2" t="str">
        <f>Hyperlink("https://www.diodes.com/datasheet/download/DMG6601LVT.pdf")</f>
        <v>https://www.diodes.com/datasheet/download/DMG6601LVT.pdf</v>
      </c>
      <c r="C186" t="str">
        <f>Hyperlink("https://www.diodes.com/part/view/DMG6601LVT","DMG6601LVT")</f>
        <v>DMG6601LVT</v>
      </c>
      <c r="D186" t="s">
        <v>113</v>
      </c>
      <c r="E186" t="s">
        <v>27</v>
      </c>
      <c r="F186" t="s">
        <v>28</v>
      </c>
      <c r="G186" t="s">
        <v>114</v>
      </c>
      <c r="H186" t="s">
        <v>30</v>
      </c>
      <c r="I186" t="s">
        <v>374</v>
      </c>
      <c r="J186" t="s">
        <v>185</v>
      </c>
      <c r="K186" t="s">
        <v>705</v>
      </c>
      <c r="M186">
        <v>1.3</v>
      </c>
      <c r="O186" t="s">
        <v>706</v>
      </c>
      <c r="P186" t="s">
        <v>707</v>
      </c>
      <c r="Q186" t="s">
        <v>708</v>
      </c>
      <c r="T186" t="s">
        <v>709</v>
      </c>
      <c r="U186" t="s">
        <v>710</v>
      </c>
      <c r="V186" t="s">
        <v>711</v>
      </c>
      <c r="W186" t="s">
        <v>712</v>
      </c>
      <c r="X186" t="s">
        <v>357</v>
      </c>
      <c r="Y186" t="s">
        <v>183</v>
      </c>
    </row>
    <row r="187" spans="1:25">
      <c r="A187" t="s">
        <v>713</v>
      </c>
      <c r="B187" s="2" t="str">
        <f>Hyperlink("https://www.diodes.com/datasheet/download/DMG6898LSD.pdf")</f>
        <v>https://www.diodes.com/datasheet/download/DMG6898LSD.pdf</v>
      </c>
      <c r="C187" t="str">
        <f>Hyperlink("https://www.diodes.com/part/view/DMG6898LSD","DMG6898LSD")</f>
        <v>DMG6898LSD</v>
      </c>
      <c r="D187" t="s">
        <v>631</v>
      </c>
      <c r="E187" t="s">
        <v>27</v>
      </c>
      <c r="F187" t="s">
        <v>28</v>
      </c>
      <c r="G187" t="s">
        <v>40</v>
      </c>
      <c r="H187" t="s">
        <v>27</v>
      </c>
      <c r="I187">
        <v>20</v>
      </c>
      <c r="J187">
        <v>12</v>
      </c>
      <c r="K187">
        <v>9.8</v>
      </c>
      <c r="M187">
        <v>1.28</v>
      </c>
      <c r="P187">
        <v>16</v>
      </c>
      <c r="Q187">
        <v>23</v>
      </c>
      <c r="S187">
        <v>0.5</v>
      </c>
      <c r="T187">
        <v>1.5</v>
      </c>
      <c r="U187">
        <v>11.6</v>
      </c>
      <c r="V187">
        <v>26</v>
      </c>
      <c r="W187">
        <v>1149</v>
      </c>
      <c r="Y187" t="s">
        <v>213</v>
      </c>
    </row>
    <row r="188" spans="1:25">
      <c r="A188" t="s">
        <v>714</v>
      </c>
      <c r="B188" s="2" t="str">
        <f>Hyperlink("https://www.diodes.com/datasheet/download/DMG6968UDM.pdf")</f>
        <v>https://www.diodes.com/datasheet/download/DMG6968UDM.pdf</v>
      </c>
      <c r="C188" t="str">
        <f>Hyperlink("https://www.diodes.com/part/view/DMG6968UDM","DMG6968UDM")</f>
        <v>DMG6968UDM</v>
      </c>
      <c r="D188" t="s">
        <v>631</v>
      </c>
      <c r="E188" t="s">
        <v>27</v>
      </c>
      <c r="F188" t="s">
        <v>28</v>
      </c>
      <c r="G188" t="s">
        <v>40</v>
      </c>
      <c r="H188" t="s">
        <v>27</v>
      </c>
      <c r="I188">
        <v>20</v>
      </c>
      <c r="J188">
        <v>12</v>
      </c>
      <c r="K188">
        <v>6.5</v>
      </c>
      <c r="M188">
        <v>0.85</v>
      </c>
      <c r="P188">
        <v>24</v>
      </c>
      <c r="Q188">
        <v>28</v>
      </c>
      <c r="R188">
        <v>34</v>
      </c>
      <c r="S188">
        <v>0.5</v>
      </c>
      <c r="T188">
        <v>0.9</v>
      </c>
      <c r="U188">
        <v>8.8</v>
      </c>
      <c r="W188">
        <v>143</v>
      </c>
      <c r="Y188" t="s">
        <v>339</v>
      </c>
    </row>
    <row r="189" spans="1:25">
      <c r="A189" t="s">
        <v>715</v>
      </c>
      <c r="B189" s="2" t="str">
        <f>Hyperlink("https://www.diodes.com/datasheet/download/DMG6968UTS.pdf")</f>
        <v>https://www.diodes.com/datasheet/download/DMG6968UTS.pdf</v>
      </c>
      <c r="C189" t="str">
        <f>Hyperlink("https://www.diodes.com/part/view/DMG6968UTS","DMG6968UTS")</f>
        <v>DMG6968UTS</v>
      </c>
      <c r="D189" t="s">
        <v>631</v>
      </c>
      <c r="E189" t="s">
        <v>27</v>
      </c>
      <c r="F189" t="s">
        <v>28</v>
      </c>
      <c r="G189" t="s">
        <v>40</v>
      </c>
      <c r="H189" t="s">
        <v>27</v>
      </c>
      <c r="I189">
        <v>20</v>
      </c>
      <c r="J189">
        <v>12</v>
      </c>
      <c r="K189">
        <v>5.2</v>
      </c>
      <c r="M189">
        <v>1</v>
      </c>
      <c r="P189">
        <v>23</v>
      </c>
      <c r="Q189">
        <v>27</v>
      </c>
      <c r="R189">
        <v>34</v>
      </c>
      <c r="S189">
        <v>0.35</v>
      </c>
      <c r="T189">
        <v>0.95</v>
      </c>
      <c r="U189">
        <v>8.8</v>
      </c>
      <c r="W189">
        <v>143</v>
      </c>
      <c r="Y189" t="s">
        <v>716</v>
      </c>
    </row>
    <row r="190" spans="1:25">
      <c r="A190" t="s">
        <v>717</v>
      </c>
      <c r="B190" s="2" t="str">
        <f>Hyperlink("https://www.diodes.com/datasheet/download/DMG7410SFG.pdf")</f>
        <v>https://www.diodes.com/datasheet/download/DMG7410SFG.pdf</v>
      </c>
      <c r="C190" t="str">
        <f>Hyperlink("https://www.diodes.com/part/view/DMG7410SFG","DMG7410SFG")</f>
        <v>DMG7410SFG</v>
      </c>
      <c r="D190" t="s">
        <v>26</v>
      </c>
      <c r="E190" t="s">
        <v>27</v>
      </c>
      <c r="F190" t="s">
        <v>28</v>
      </c>
      <c r="G190" t="s">
        <v>29</v>
      </c>
      <c r="H190" t="s">
        <v>30</v>
      </c>
      <c r="I190">
        <v>30</v>
      </c>
      <c r="J190">
        <v>25</v>
      </c>
      <c r="K190">
        <v>8</v>
      </c>
      <c r="M190">
        <v>2.07</v>
      </c>
      <c r="O190">
        <v>20</v>
      </c>
      <c r="P190">
        <v>27</v>
      </c>
      <c r="T190">
        <v>2</v>
      </c>
      <c r="U190">
        <v>5.3</v>
      </c>
      <c r="V190">
        <v>11.3</v>
      </c>
      <c r="W190">
        <v>580</v>
      </c>
      <c r="Y190" t="s">
        <v>718</v>
      </c>
    </row>
    <row r="191" spans="1:25">
      <c r="A191" t="s">
        <v>719</v>
      </c>
      <c r="B191" s="2" t="str">
        <f>Hyperlink("https://www.diodes.com/datasheet/download/DMG7430LFG.pdf")</f>
        <v>https://www.diodes.com/datasheet/download/DMG7430LFG.pdf</v>
      </c>
      <c r="C191" t="str">
        <f>Hyperlink("https://www.diodes.com/part/view/DMG7430LFG","DMG7430LFG")</f>
        <v>DMG7430LFG</v>
      </c>
      <c r="D191" t="s">
        <v>26</v>
      </c>
      <c r="E191" t="s">
        <v>27</v>
      </c>
      <c r="F191" t="s">
        <v>28</v>
      </c>
      <c r="G191" t="s">
        <v>29</v>
      </c>
      <c r="H191" t="s">
        <v>30</v>
      </c>
      <c r="I191">
        <v>30</v>
      </c>
      <c r="J191">
        <v>20</v>
      </c>
      <c r="K191">
        <v>10.5</v>
      </c>
      <c r="M191">
        <v>2.2</v>
      </c>
      <c r="O191">
        <v>11</v>
      </c>
      <c r="P191">
        <v>15</v>
      </c>
      <c r="T191">
        <v>2.5</v>
      </c>
      <c r="U191">
        <v>12.5</v>
      </c>
      <c r="V191">
        <v>26.7</v>
      </c>
      <c r="W191">
        <v>1281</v>
      </c>
      <c r="Y191" t="s">
        <v>718</v>
      </c>
    </row>
    <row r="192" spans="1:25">
      <c r="A192" t="s">
        <v>720</v>
      </c>
      <c r="B192" s="2" t="str">
        <f>Hyperlink("https://www.diodes.com/datasheet/download/DMG7430LFGQ.pdf")</f>
        <v>https://www.diodes.com/datasheet/download/DMG7430LFGQ.pdf</v>
      </c>
      <c r="C192" t="str">
        <f>Hyperlink("https://www.diodes.com/part/view/DMG7430LFGQ","DMG7430LFGQ")</f>
        <v>DMG7430LFGQ</v>
      </c>
      <c r="D192" t="s">
        <v>26</v>
      </c>
      <c r="E192" t="s">
        <v>27</v>
      </c>
      <c r="F192" t="s">
        <v>37</v>
      </c>
      <c r="G192" t="s">
        <v>29</v>
      </c>
      <c r="H192" t="s">
        <v>30</v>
      </c>
      <c r="I192">
        <v>30</v>
      </c>
      <c r="J192">
        <v>20</v>
      </c>
      <c r="K192">
        <v>10.5</v>
      </c>
      <c r="M192">
        <v>2.2</v>
      </c>
      <c r="O192">
        <v>11</v>
      </c>
      <c r="P192">
        <v>15</v>
      </c>
      <c r="T192">
        <v>2.5</v>
      </c>
      <c r="U192">
        <v>12.5</v>
      </c>
      <c r="V192">
        <v>26.7</v>
      </c>
      <c r="W192">
        <v>1281</v>
      </c>
      <c r="X192">
        <v>15</v>
      </c>
      <c r="Y192" t="s">
        <v>718</v>
      </c>
    </row>
    <row r="193" spans="1:25">
      <c r="A193" t="s">
        <v>721</v>
      </c>
      <c r="B193" s="2" t="str">
        <f>Hyperlink("https://www.diodes.com/datasheet/download/DMG8601UFG.pdf")</f>
        <v>https://www.diodes.com/datasheet/download/DMG8601UFG.pdf</v>
      </c>
      <c r="C193" t="str">
        <f>Hyperlink("https://www.diodes.com/part/view/DMG8601UFG","DMG8601UFG")</f>
        <v>DMG8601UFG</v>
      </c>
      <c r="D193" t="s">
        <v>631</v>
      </c>
      <c r="E193" t="s">
        <v>27</v>
      </c>
      <c r="F193" t="s">
        <v>28</v>
      </c>
      <c r="G193" t="s">
        <v>40</v>
      </c>
      <c r="H193" t="s">
        <v>27</v>
      </c>
      <c r="I193">
        <v>20</v>
      </c>
      <c r="J193">
        <v>12</v>
      </c>
      <c r="K193">
        <v>6.1</v>
      </c>
      <c r="M193">
        <v>0.92</v>
      </c>
      <c r="P193">
        <v>23</v>
      </c>
      <c r="Q193">
        <v>27</v>
      </c>
      <c r="R193">
        <v>34</v>
      </c>
      <c r="S193">
        <v>0.35</v>
      </c>
      <c r="T193">
        <v>1.05</v>
      </c>
      <c r="U193">
        <v>8.8</v>
      </c>
      <c r="W193">
        <v>143</v>
      </c>
      <c r="Y193" t="s">
        <v>679</v>
      </c>
    </row>
    <row r="194" spans="1:25">
      <c r="A194" t="s">
        <v>722</v>
      </c>
      <c r="B194" s="2" t="str">
        <f>Hyperlink("https://www.diodes.com/datasheet/download/DMG8822UTS.pdf")</f>
        <v>https://www.diodes.com/datasheet/download/DMG8822UTS.pdf</v>
      </c>
      <c r="C194" t="str">
        <f>Hyperlink("https://www.diodes.com/part/view/DMG8822UTS","DMG8822UTS")</f>
        <v>DMG8822UTS</v>
      </c>
      <c r="D194" t="s">
        <v>631</v>
      </c>
      <c r="E194" t="s">
        <v>27</v>
      </c>
      <c r="F194" t="s">
        <v>28</v>
      </c>
      <c r="G194" t="s">
        <v>40</v>
      </c>
      <c r="H194" t="s">
        <v>30</v>
      </c>
      <c r="I194">
        <v>20</v>
      </c>
      <c r="J194">
        <v>8</v>
      </c>
      <c r="K194">
        <v>4.9</v>
      </c>
      <c r="M194">
        <v>0.87</v>
      </c>
      <c r="P194">
        <v>25</v>
      </c>
      <c r="Q194">
        <v>29</v>
      </c>
      <c r="R194">
        <v>37</v>
      </c>
      <c r="S194">
        <v>0.5</v>
      </c>
      <c r="T194">
        <v>0.9</v>
      </c>
      <c r="U194">
        <v>9.6</v>
      </c>
      <c r="W194">
        <v>841</v>
      </c>
      <c r="Y194" t="s">
        <v>716</v>
      </c>
    </row>
    <row r="195" spans="1:25">
      <c r="A195" t="s">
        <v>723</v>
      </c>
      <c r="B195" s="2" t="str">
        <f>Hyperlink("https://www.diodes.com/datasheet/download/DMG8880LK3.pdf")</f>
        <v>https://www.diodes.com/datasheet/download/DMG8880LK3.pdf</v>
      </c>
      <c r="C195" t="str">
        <f>Hyperlink("https://www.diodes.com/part/view/DMG8880LK3","DMG8880LK3")</f>
        <v>DMG8880LK3</v>
      </c>
      <c r="D195" t="s">
        <v>26</v>
      </c>
      <c r="E195" t="s">
        <v>27</v>
      </c>
      <c r="F195" t="s">
        <v>28</v>
      </c>
      <c r="G195" t="s">
        <v>29</v>
      </c>
      <c r="H195" t="s">
        <v>30</v>
      </c>
      <c r="I195">
        <v>30</v>
      </c>
      <c r="J195">
        <v>20</v>
      </c>
      <c r="K195">
        <v>16.5</v>
      </c>
      <c r="M195">
        <v>1.68</v>
      </c>
      <c r="O195">
        <v>7.5</v>
      </c>
      <c r="P195">
        <v>12</v>
      </c>
      <c r="T195">
        <v>2.3</v>
      </c>
      <c r="U195" t="s">
        <v>724</v>
      </c>
      <c r="V195">
        <v>27.6</v>
      </c>
      <c r="W195">
        <v>1289</v>
      </c>
      <c r="Y195" t="s">
        <v>681</v>
      </c>
    </row>
    <row r="196" spans="1:25">
      <c r="A196" t="s">
        <v>725</v>
      </c>
      <c r="B196" s="2" t="str">
        <f>Hyperlink("https://www.diodes.com/datasheet/download/DMG9926UDM.pdf")</f>
        <v>https://www.diodes.com/datasheet/download/DMG9926UDM.pdf</v>
      </c>
      <c r="C196" t="str">
        <f>Hyperlink("https://www.diodes.com/part/view/DMG9926UDM","DMG9926UDM")</f>
        <v>DMG9926UDM</v>
      </c>
      <c r="D196" t="s">
        <v>631</v>
      </c>
      <c r="E196" t="s">
        <v>27</v>
      </c>
      <c r="F196" t="s">
        <v>28</v>
      </c>
      <c r="G196" t="s">
        <v>40</v>
      </c>
      <c r="H196" t="s">
        <v>30</v>
      </c>
      <c r="I196">
        <v>20</v>
      </c>
      <c r="J196">
        <v>8</v>
      </c>
      <c r="K196">
        <v>4.2</v>
      </c>
      <c r="M196">
        <v>0.98</v>
      </c>
      <c r="P196">
        <v>28</v>
      </c>
      <c r="Q196">
        <v>32</v>
      </c>
      <c r="R196">
        <v>40</v>
      </c>
      <c r="S196">
        <v>0.5</v>
      </c>
      <c r="T196">
        <v>0.9</v>
      </c>
      <c r="U196">
        <v>8.3</v>
      </c>
      <c r="W196">
        <v>856</v>
      </c>
      <c r="Y196" t="s">
        <v>339</v>
      </c>
    </row>
    <row r="197" spans="1:25">
      <c r="A197" t="s">
        <v>726</v>
      </c>
      <c r="B197" s="2" t="str">
        <f>Hyperlink("https://www.diodes.com/datasheet/download/DMG9926USD.pdf")</f>
        <v>https://www.diodes.com/datasheet/download/DMG9926USD.pdf</v>
      </c>
      <c r="C197" t="str">
        <f>Hyperlink("https://www.diodes.com/part/view/DMG9926USD","DMG9926USD")</f>
        <v>DMG9926USD</v>
      </c>
      <c r="D197" t="s">
        <v>631</v>
      </c>
      <c r="E197" t="s">
        <v>27</v>
      </c>
      <c r="F197" t="s">
        <v>28</v>
      </c>
      <c r="G197" t="s">
        <v>40</v>
      </c>
      <c r="H197" t="s">
        <v>30</v>
      </c>
      <c r="I197">
        <v>20</v>
      </c>
      <c r="J197">
        <v>8</v>
      </c>
      <c r="K197">
        <v>8</v>
      </c>
      <c r="M197">
        <v>1.3</v>
      </c>
      <c r="P197">
        <v>24</v>
      </c>
      <c r="Q197">
        <v>29</v>
      </c>
      <c r="R197">
        <v>37</v>
      </c>
      <c r="S197">
        <v>0.5</v>
      </c>
      <c r="T197">
        <v>0.9</v>
      </c>
      <c r="U197">
        <v>8.8</v>
      </c>
      <c r="W197">
        <v>880</v>
      </c>
      <c r="Y197" t="s">
        <v>213</v>
      </c>
    </row>
    <row r="198" spans="1:25">
      <c r="A198" t="s">
        <v>727</v>
      </c>
      <c r="B198" s="2" t="str">
        <f>Hyperlink("https://www.diodes.com/datasheet/download/DMG9933USD.pdf")</f>
        <v>https://www.diodes.com/datasheet/download/DMG9933USD.pdf</v>
      </c>
      <c r="C198" t="str">
        <f>Hyperlink("https://www.diodes.com/part/view/DMG9933USD","DMG9933USD")</f>
        <v>DMG9933USD</v>
      </c>
      <c r="D198" t="s">
        <v>123</v>
      </c>
      <c r="E198" t="s">
        <v>27</v>
      </c>
      <c r="F198" t="s">
        <v>28</v>
      </c>
      <c r="G198" t="s">
        <v>124</v>
      </c>
      <c r="H198" t="s">
        <v>30</v>
      </c>
      <c r="I198">
        <v>20</v>
      </c>
      <c r="J198">
        <v>12</v>
      </c>
      <c r="K198">
        <v>4.6</v>
      </c>
      <c r="M198">
        <v>1.2</v>
      </c>
      <c r="P198">
        <v>75</v>
      </c>
      <c r="Q198">
        <v>110</v>
      </c>
      <c r="S198">
        <v>0.45</v>
      </c>
      <c r="T198">
        <v>1.1</v>
      </c>
      <c r="U198">
        <v>6.5</v>
      </c>
      <c r="W198">
        <v>608.4</v>
      </c>
      <c r="X198">
        <v>6</v>
      </c>
      <c r="Y198" t="s">
        <v>213</v>
      </c>
    </row>
    <row r="199" spans="1:25">
      <c r="A199" t="s">
        <v>728</v>
      </c>
      <c r="B199" s="2" t="str">
        <f>Hyperlink("https://www.diodes.com/datasheet/download/DMGD7N45SSD.pdf")</f>
        <v>https://www.diodes.com/datasheet/download/DMGD7N45SSD.pdf</v>
      </c>
      <c r="C199" t="str">
        <f>Hyperlink("https://www.diodes.com/part/view/DMGD7N45SSD","DMGD7N45SSD")</f>
        <v>DMGD7N45SSD</v>
      </c>
      <c r="D199" t="s">
        <v>39</v>
      </c>
      <c r="E199" t="s">
        <v>30</v>
      </c>
      <c r="F199" t="s">
        <v>28</v>
      </c>
      <c r="G199" t="s">
        <v>40</v>
      </c>
      <c r="H199" t="s">
        <v>30</v>
      </c>
      <c r="I199">
        <v>450</v>
      </c>
      <c r="J199">
        <v>30</v>
      </c>
      <c r="K199">
        <v>0.5</v>
      </c>
      <c r="M199">
        <v>1.64</v>
      </c>
      <c r="O199">
        <v>4000</v>
      </c>
      <c r="T199">
        <v>4.5</v>
      </c>
      <c r="V199">
        <v>6.9</v>
      </c>
      <c r="W199">
        <v>256</v>
      </c>
      <c r="Y199" t="s">
        <v>213</v>
      </c>
    </row>
    <row r="200" spans="1:25">
      <c r="A200" t="s">
        <v>729</v>
      </c>
      <c r="B200" s="2" t="str">
        <f>Hyperlink("https://www.diodes.com/datasheet/download/DMHC10H170SFJ.pdf")</f>
        <v>https://www.diodes.com/datasheet/download/DMHC10H170SFJ.pdf</v>
      </c>
      <c r="C200" t="str">
        <f>Hyperlink("https://www.diodes.com/part/view/DMHC10H170SFJ","DMHC10H170SFJ")</f>
        <v>DMHC10H170SFJ</v>
      </c>
      <c r="D200" t="s">
        <v>730</v>
      </c>
      <c r="E200" t="s">
        <v>27</v>
      </c>
      <c r="F200" t="s">
        <v>28</v>
      </c>
      <c r="G200" t="s">
        <v>731</v>
      </c>
      <c r="H200" t="s">
        <v>30</v>
      </c>
      <c r="I200">
        <v>100</v>
      </c>
      <c r="J200">
        <v>20</v>
      </c>
      <c r="K200" t="s">
        <v>732</v>
      </c>
      <c r="M200">
        <v>2.1</v>
      </c>
      <c r="O200" t="s">
        <v>733</v>
      </c>
      <c r="P200" t="s">
        <v>734</v>
      </c>
      <c r="S200" t="s">
        <v>175</v>
      </c>
      <c r="T200" t="s">
        <v>219</v>
      </c>
      <c r="V200" t="s">
        <v>735</v>
      </c>
      <c r="W200" t="s">
        <v>736</v>
      </c>
      <c r="X200">
        <v>25</v>
      </c>
      <c r="Y200" t="s">
        <v>737</v>
      </c>
    </row>
    <row r="201" spans="1:25">
      <c r="A201" t="s">
        <v>738</v>
      </c>
      <c r="B201" s="2" t="str">
        <f>Hyperlink("https://www.diodes.com/datasheet/download/DMHC3025LSD.pdf")</f>
        <v>https://www.diodes.com/datasheet/download/DMHC3025LSD.pdf</v>
      </c>
      <c r="C201" t="str">
        <f>Hyperlink("https://www.diodes.com/part/view/DMHC3025LSD","DMHC3025LSD")</f>
        <v>DMHC3025LSD</v>
      </c>
      <c r="D201" t="s">
        <v>739</v>
      </c>
      <c r="E201" t="s">
        <v>27</v>
      </c>
      <c r="F201" t="s">
        <v>28</v>
      </c>
      <c r="G201" t="s">
        <v>731</v>
      </c>
      <c r="H201" t="s">
        <v>30</v>
      </c>
      <c r="I201">
        <v>30</v>
      </c>
      <c r="J201">
        <v>20</v>
      </c>
      <c r="K201" t="s">
        <v>740</v>
      </c>
      <c r="M201">
        <v>1.5</v>
      </c>
      <c r="O201" t="s">
        <v>741</v>
      </c>
      <c r="P201" t="s">
        <v>742</v>
      </c>
      <c r="S201" t="s">
        <v>175</v>
      </c>
      <c r="T201" t="s">
        <v>424</v>
      </c>
      <c r="V201" t="s">
        <v>743</v>
      </c>
      <c r="W201" t="s">
        <v>744</v>
      </c>
      <c r="X201" t="s">
        <v>357</v>
      </c>
      <c r="Y201" t="s">
        <v>213</v>
      </c>
    </row>
    <row r="202" spans="1:25">
      <c r="A202" t="s">
        <v>745</v>
      </c>
      <c r="B202" s="2" t="str">
        <f>Hyperlink("https://www.diodes.com/datasheet/download/DMHC3025LSDQ.pdf")</f>
        <v>https://www.diodes.com/datasheet/download/DMHC3025LSDQ.pdf</v>
      </c>
      <c r="C202" t="str">
        <f>Hyperlink("https://www.diodes.com/part/view/DMHC3025LSDQ","DMHC3025LSDQ")</f>
        <v>DMHC3025LSDQ</v>
      </c>
      <c r="D202" t="s">
        <v>739</v>
      </c>
      <c r="E202" t="s">
        <v>27</v>
      </c>
      <c r="F202" t="s">
        <v>37</v>
      </c>
      <c r="G202" t="s">
        <v>731</v>
      </c>
      <c r="H202" t="s">
        <v>30</v>
      </c>
      <c r="I202">
        <v>30</v>
      </c>
      <c r="J202">
        <v>20</v>
      </c>
      <c r="K202" t="s">
        <v>740</v>
      </c>
      <c r="M202">
        <v>1.5</v>
      </c>
      <c r="O202" t="s">
        <v>741</v>
      </c>
      <c r="P202" t="s">
        <v>742</v>
      </c>
      <c r="S202" t="s">
        <v>175</v>
      </c>
      <c r="T202" t="s">
        <v>424</v>
      </c>
      <c r="V202" t="s">
        <v>743</v>
      </c>
      <c r="W202" t="s">
        <v>744</v>
      </c>
      <c r="X202" t="s">
        <v>357</v>
      </c>
      <c r="Y202" t="s">
        <v>213</v>
      </c>
    </row>
    <row r="203" spans="1:25">
      <c r="A203" t="s">
        <v>746</v>
      </c>
      <c r="B203" s="2" t="str">
        <f>Hyperlink("https://www.diodes.com/datasheet/download/DMHC4035LSD.pdf")</f>
        <v>https://www.diodes.com/datasheet/download/DMHC4035LSD.pdf</v>
      </c>
      <c r="C203" t="str">
        <f>Hyperlink("https://www.diodes.com/part/view/DMHC4035LSD","DMHC4035LSD")</f>
        <v>DMHC4035LSD</v>
      </c>
      <c r="D203" t="s">
        <v>747</v>
      </c>
      <c r="E203" t="s">
        <v>27</v>
      </c>
      <c r="F203" t="s">
        <v>28</v>
      </c>
      <c r="G203" t="s">
        <v>731</v>
      </c>
      <c r="H203" t="s">
        <v>30</v>
      </c>
      <c r="I203">
        <v>40</v>
      </c>
      <c r="J203">
        <v>20</v>
      </c>
      <c r="K203" t="s">
        <v>748</v>
      </c>
      <c r="M203">
        <v>1.5</v>
      </c>
      <c r="O203" t="s">
        <v>749</v>
      </c>
      <c r="P203" t="s">
        <v>750</v>
      </c>
      <c r="S203" t="s">
        <v>175</v>
      </c>
      <c r="T203" t="s">
        <v>219</v>
      </c>
      <c r="V203" t="s">
        <v>751</v>
      </c>
      <c r="W203" t="s">
        <v>752</v>
      </c>
      <c r="X203" t="s">
        <v>116</v>
      </c>
      <c r="Y203" t="s">
        <v>213</v>
      </c>
    </row>
    <row r="204" spans="1:25">
      <c r="A204" t="s">
        <v>753</v>
      </c>
      <c r="B204" s="2" t="str">
        <f>Hyperlink("https://www.diodes.com/datasheet/download/DMHC4035LSDQ.pdf")</f>
        <v>https://www.diodes.com/datasheet/download/DMHC4035LSDQ.pdf</v>
      </c>
      <c r="C204" t="str">
        <f>Hyperlink("https://www.diodes.com/part/view/DMHC4035LSDQ","DMHC4035LSDQ")</f>
        <v>DMHC4035LSDQ</v>
      </c>
      <c r="D204" t="s">
        <v>747</v>
      </c>
      <c r="E204" t="s">
        <v>27</v>
      </c>
      <c r="F204" t="s">
        <v>37</v>
      </c>
      <c r="G204" t="s">
        <v>731</v>
      </c>
      <c r="H204" t="s">
        <v>30</v>
      </c>
      <c r="I204">
        <v>40</v>
      </c>
      <c r="J204">
        <v>20</v>
      </c>
      <c r="K204" t="s">
        <v>748</v>
      </c>
      <c r="M204">
        <v>1.5</v>
      </c>
      <c r="O204" t="s">
        <v>749</v>
      </c>
      <c r="P204" t="s">
        <v>750</v>
      </c>
      <c r="S204" t="s">
        <v>175</v>
      </c>
      <c r="T204" t="s">
        <v>219</v>
      </c>
      <c r="V204" t="s">
        <v>751</v>
      </c>
      <c r="W204" t="s">
        <v>752</v>
      </c>
      <c r="X204" t="s">
        <v>116</v>
      </c>
      <c r="Y204" t="s">
        <v>213</v>
      </c>
    </row>
    <row r="205" spans="1:25">
      <c r="A205" t="s">
        <v>754</v>
      </c>
      <c r="B205" s="2" t="str">
        <f>Hyperlink("https://www.diodes.com/datasheet/download/DMHC6070LSD.pdf")</f>
        <v>https://www.diodes.com/datasheet/download/DMHC6070LSD.pdf</v>
      </c>
      <c r="C205" t="str">
        <f>Hyperlink("https://www.diodes.com/part/view/DMHC6070LSD","DMHC6070LSD")</f>
        <v>DMHC6070LSD</v>
      </c>
      <c r="D205" t="s">
        <v>755</v>
      </c>
      <c r="E205" t="s">
        <v>30</v>
      </c>
      <c r="F205" t="s">
        <v>28</v>
      </c>
      <c r="G205" t="s">
        <v>731</v>
      </c>
      <c r="H205" t="s">
        <v>30</v>
      </c>
      <c r="I205">
        <v>60</v>
      </c>
      <c r="J205">
        <v>20</v>
      </c>
      <c r="K205" t="s">
        <v>599</v>
      </c>
      <c r="M205">
        <v>1.6</v>
      </c>
      <c r="O205" t="s">
        <v>756</v>
      </c>
      <c r="P205" t="s">
        <v>601</v>
      </c>
      <c r="S205" t="s">
        <v>175</v>
      </c>
      <c r="T205" t="s">
        <v>219</v>
      </c>
      <c r="V205" t="s">
        <v>603</v>
      </c>
      <c r="W205" t="s">
        <v>757</v>
      </c>
      <c r="X205" t="s">
        <v>116</v>
      </c>
      <c r="Y205" t="s">
        <v>213</v>
      </c>
    </row>
    <row r="206" spans="1:25">
      <c r="A206" t="s">
        <v>758</v>
      </c>
      <c r="B206" s="2" t="str">
        <f>Hyperlink("https://www.diodes.com/datasheet/download/DMHT10H032LFJ.pdf")</f>
        <v>https://www.diodes.com/datasheet/download/DMHT10H032LFJ.pdf</v>
      </c>
      <c r="C206" t="str">
        <f>Hyperlink("https://www.diodes.com/part/view/DMHT10H032LFJ","DMHT10H032LFJ")</f>
        <v>DMHT10H032LFJ</v>
      </c>
      <c r="D206" t="s">
        <v>759</v>
      </c>
      <c r="E206" t="s">
        <v>30</v>
      </c>
      <c r="F206" t="s">
        <v>28</v>
      </c>
      <c r="G206" t="s">
        <v>29</v>
      </c>
      <c r="H206" t="s">
        <v>30</v>
      </c>
      <c r="I206">
        <v>100</v>
      </c>
      <c r="J206">
        <v>20</v>
      </c>
      <c r="K206">
        <v>6</v>
      </c>
      <c r="M206">
        <v>1.9</v>
      </c>
      <c r="O206">
        <v>33</v>
      </c>
      <c r="P206">
        <v>50</v>
      </c>
      <c r="T206">
        <v>2.5</v>
      </c>
      <c r="U206">
        <v>6.3</v>
      </c>
      <c r="V206">
        <v>11.9</v>
      </c>
      <c r="W206">
        <v>683</v>
      </c>
      <c r="X206">
        <v>50</v>
      </c>
      <c r="Y206" t="s">
        <v>737</v>
      </c>
    </row>
    <row r="207" spans="1:25">
      <c r="A207" t="s">
        <v>760</v>
      </c>
      <c r="B207" s="2" t="str">
        <f>Hyperlink("https://www.diodes.com/datasheet/download/DMHT3006LFJ.pdf")</f>
        <v>https://www.diodes.com/datasheet/download/DMHT3006LFJ.pdf</v>
      </c>
      <c r="C207" t="str">
        <f>Hyperlink("https://www.diodes.com/part/view/DMHT3006LFJ","DMHT3006LFJ")</f>
        <v>DMHT3006LFJ</v>
      </c>
      <c r="D207" t="s">
        <v>761</v>
      </c>
      <c r="E207" t="s">
        <v>30</v>
      </c>
      <c r="F207" t="s">
        <v>28</v>
      </c>
      <c r="G207" t="s">
        <v>762</v>
      </c>
      <c r="H207" t="s">
        <v>30</v>
      </c>
      <c r="I207">
        <v>30</v>
      </c>
      <c r="J207">
        <v>20</v>
      </c>
      <c r="K207">
        <v>13</v>
      </c>
      <c r="M207">
        <v>2.1</v>
      </c>
      <c r="O207">
        <v>10</v>
      </c>
      <c r="P207">
        <v>15</v>
      </c>
      <c r="T207">
        <v>3</v>
      </c>
      <c r="U207">
        <v>9</v>
      </c>
      <c r="V207">
        <v>17</v>
      </c>
      <c r="W207">
        <v>1171</v>
      </c>
      <c r="X207">
        <v>15</v>
      </c>
      <c r="Y207" t="s">
        <v>763</v>
      </c>
    </row>
    <row r="208" spans="1:25">
      <c r="A208" t="s">
        <v>764</v>
      </c>
      <c r="B208" s="2" t="str">
        <f>Hyperlink("https://www.diodes.com/datasheet/download/DMHT6016LFJ.pdf")</f>
        <v>https://www.diodes.com/datasheet/download/DMHT6016LFJ.pdf</v>
      </c>
      <c r="C208" t="str">
        <f>Hyperlink("https://www.diodes.com/part/view/DMHT6016LFJ","DMHT6016LFJ")</f>
        <v>DMHT6016LFJ</v>
      </c>
      <c r="D208" t="s">
        <v>765</v>
      </c>
      <c r="E208" t="s">
        <v>30</v>
      </c>
      <c r="F208" t="s">
        <v>28</v>
      </c>
      <c r="G208" t="s">
        <v>762</v>
      </c>
      <c r="H208" t="s">
        <v>30</v>
      </c>
      <c r="I208">
        <v>60</v>
      </c>
      <c r="J208">
        <v>20</v>
      </c>
      <c r="K208">
        <v>10.6</v>
      </c>
      <c r="M208">
        <v>2.7</v>
      </c>
      <c r="O208">
        <v>22</v>
      </c>
      <c r="P208">
        <v>30</v>
      </c>
      <c r="T208">
        <v>3</v>
      </c>
      <c r="U208">
        <v>8.4</v>
      </c>
      <c r="V208">
        <v>17</v>
      </c>
      <c r="W208">
        <v>864</v>
      </c>
      <c r="X208">
        <v>30</v>
      </c>
      <c r="Y208" t="s">
        <v>766</v>
      </c>
    </row>
    <row r="209" spans="1:25">
      <c r="A209" t="s">
        <v>767</v>
      </c>
      <c r="B209" s="2" t="str">
        <f>Hyperlink("https://www.diodes.com/datasheet/download/DMN1001UCA10.pdf")</f>
        <v>https://www.diodes.com/datasheet/download/DMN1001UCA10.pdf</v>
      </c>
      <c r="C209" t="str">
        <f>Hyperlink("https://www.diodes.com/part/view/DMN1001UCA10","DMN1001UCA10")</f>
        <v>DMN1001UCA10</v>
      </c>
      <c r="D209" t="s">
        <v>768</v>
      </c>
      <c r="E209" t="s">
        <v>30</v>
      </c>
      <c r="F209" t="s">
        <v>28</v>
      </c>
      <c r="G209" t="s">
        <v>40</v>
      </c>
      <c r="H209" t="s">
        <v>27</v>
      </c>
      <c r="I209">
        <v>12</v>
      </c>
      <c r="J209">
        <v>8</v>
      </c>
      <c r="K209">
        <v>20</v>
      </c>
      <c r="M209">
        <v>2.4</v>
      </c>
      <c r="P209">
        <v>3.55</v>
      </c>
      <c r="Q209">
        <v>6.9</v>
      </c>
      <c r="S209">
        <v>0.35</v>
      </c>
      <c r="T209">
        <v>1.4</v>
      </c>
      <c r="U209" t="s">
        <v>769</v>
      </c>
      <c r="W209">
        <v>2865</v>
      </c>
      <c r="X209">
        <v>6</v>
      </c>
      <c r="Y209" t="s">
        <v>770</v>
      </c>
    </row>
    <row r="210" spans="1:25">
      <c r="A210" t="s">
        <v>771</v>
      </c>
      <c r="B210" s="2" t="str">
        <f>Hyperlink("https://www.diodes.com/datasheet/download/DMN1002UCA6.pdf")</f>
        <v>https://www.diodes.com/datasheet/download/DMN1002UCA6.pdf</v>
      </c>
      <c r="C210" t="str">
        <f>Hyperlink("https://www.diodes.com/part/view/DMN1002UCA6","DMN1002UCA6")</f>
        <v>DMN1002UCA6</v>
      </c>
      <c r="D210" t="s">
        <v>768</v>
      </c>
      <c r="E210" t="s">
        <v>30</v>
      </c>
      <c r="F210" t="s">
        <v>28</v>
      </c>
      <c r="G210" t="s">
        <v>40</v>
      </c>
      <c r="H210" t="s">
        <v>27</v>
      </c>
      <c r="I210">
        <v>12</v>
      </c>
      <c r="J210">
        <v>8</v>
      </c>
      <c r="K210">
        <v>24.4</v>
      </c>
      <c r="M210">
        <v>2.47</v>
      </c>
      <c r="P210">
        <v>2.75</v>
      </c>
      <c r="Q210">
        <v>6.1</v>
      </c>
      <c r="S210">
        <v>0.35</v>
      </c>
      <c r="T210">
        <v>1.4</v>
      </c>
      <c r="U210" t="s">
        <v>772</v>
      </c>
      <c r="W210">
        <v>3062</v>
      </c>
      <c r="X210">
        <v>10</v>
      </c>
      <c r="Y210" t="s">
        <v>773</v>
      </c>
    </row>
    <row r="211" spans="1:25">
      <c r="A211" t="s">
        <v>774</v>
      </c>
      <c r="B211" s="2" t="str">
        <f>Hyperlink("https://www.diodes.com/datasheet/download/DMN1003UCA6.pdf")</f>
        <v>https://www.diodes.com/datasheet/download/DMN1003UCA6.pdf</v>
      </c>
      <c r="C211" t="str">
        <f>Hyperlink("https://www.diodes.com/part/view/DMN1003UCA6","DMN1003UCA6")</f>
        <v>DMN1003UCA6</v>
      </c>
      <c r="D211" t="s">
        <v>768</v>
      </c>
      <c r="E211" t="s">
        <v>30</v>
      </c>
      <c r="F211" t="s">
        <v>28</v>
      </c>
      <c r="G211" t="s">
        <v>40</v>
      </c>
      <c r="H211" t="s">
        <v>27</v>
      </c>
      <c r="I211">
        <v>12</v>
      </c>
      <c r="J211">
        <v>8</v>
      </c>
      <c r="K211">
        <v>23.6</v>
      </c>
      <c r="M211">
        <v>2.67</v>
      </c>
      <c r="P211">
        <v>3.2</v>
      </c>
      <c r="Q211">
        <v>6.3</v>
      </c>
      <c r="S211">
        <v>0.5</v>
      </c>
      <c r="T211">
        <v>1.3</v>
      </c>
      <c r="U211">
        <v>56.5</v>
      </c>
      <c r="W211">
        <v>3315</v>
      </c>
      <c r="X211">
        <v>6</v>
      </c>
      <c r="Y211" t="s">
        <v>775</v>
      </c>
    </row>
    <row r="212" spans="1:25">
      <c r="A212" t="s">
        <v>776</v>
      </c>
      <c r="B212" s="2" t="str">
        <f>Hyperlink("https://www.diodes.com/datasheet/download/DMN1003UFDE.pdf")</f>
        <v>https://www.diodes.com/datasheet/download/DMN1003UFDE.pdf</v>
      </c>
      <c r="C212" t="str">
        <f>Hyperlink("https://www.diodes.com/part/view/DMN1003UFDE","DMN1003UFDE")</f>
        <v>DMN1003UFDE</v>
      </c>
      <c r="D212" t="s">
        <v>777</v>
      </c>
      <c r="E212" t="s">
        <v>30</v>
      </c>
      <c r="F212" t="s">
        <v>28</v>
      </c>
      <c r="G212" t="s">
        <v>29</v>
      </c>
      <c r="H212" t="s">
        <v>27</v>
      </c>
      <c r="I212">
        <v>12</v>
      </c>
      <c r="J212">
        <v>8</v>
      </c>
      <c r="K212">
        <v>22</v>
      </c>
      <c r="M212">
        <v>2.2</v>
      </c>
      <c r="P212">
        <v>3</v>
      </c>
      <c r="Q212">
        <v>4</v>
      </c>
      <c r="S212">
        <v>0.3</v>
      </c>
      <c r="T212">
        <v>1</v>
      </c>
      <c r="U212">
        <v>27</v>
      </c>
      <c r="W212">
        <v>2551</v>
      </c>
      <c r="X212">
        <v>6</v>
      </c>
      <c r="Y212" t="s">
        <v>778</v>
      </c>
    </row>
    <row r="213" spans="1:25">
      <c r="A213" t="s">
        <v>779</v>
      </c>
      <c r="B213" s="2" t="str">
        <f>Hyperlink("https://www.diodes.com/datasheet/download/DMN1004UFDF.pdf")</f>
        <v>https://www.diodes.com/datasheet/download/DMN1004UFDF.pdf</v>
      </c>
      <c r="C213" t="str">
        <f>Hyperlink("https://www.diodes.com/part/view/DMN1004UFDF","DMN1004UFDF")</f>
        <v>DMN1004UFDF</v>
      </c>
      <c r="D213" t="s">
        <v>768</v>
      </c>
      <c r="E213" t="s">
        <v>30</v>
      </c>
      <c r="F213" t="s">
        <v>28</v>
      </c>
      <c r="G213" t="s">
        <v>29</v>
      </c>
      <c r="H213" t="s">
        <v>27</v>
      </c>
      <c r="I213">
        <v>12</v>
      </c>
      <c r="J213">
        <v>8</v>
      </c>
      <c r="K213">
        <v>15</v>
      </c>
      <c r="M213">
        <v>2.1</v>
      </c>
      <c r="P213">
        <v>4.8</v>
      </c>
      <c r="Q213">
        <v>7</v>
      </c>
      <c r="S213">
        <v>0.3</v>
      </c>
      <c r="T213">
        <v>1</v>
      </c>
      <c r="U213">
        <v>26</v>
      </c>
      <c r="V213">
        <v>47</v>
      </c>
      <c r="W213">
        <v>2385</v>
      </c>
      <c r="X213">
        <v>6</v>
      </c>
      <c r="Y213" t="s">
        <v>780</v>
      </c>
    </row>
    <row r="214" spans="1:25">
      <c r="A214" t="s">
        <v>781</v>
      </c>
      <c r="B214" s="2" t="str">
        <f>Hyperlink("https://www.diodes.com/datasheet/download/DMN1004UFV.pdf")</f>
        <v>https://www.diodes.com/datasheet/download/DMN1004UFV.pdf</v>
      </c>
      <c r="C214" t="str">
        <f>Hyperlink("https://www.diodes.com/part/view/DMN1004UFV","DMN1004UFV")</f>
        <v>DMN1004UFV</v>
      </c>
      <c r="D214" t="s">
        <v>768</v>
      </c>
      <c r="E214" t="s">
        <v>30</v>
      </c>
      <c r="F214" t="s">
        <v>28</v>
      </c>
      <c r="G214" t="s">
        <v>29</v>
      </c>
      <c r="H214" t="s">
        <v>27</v>
      </c>
      <c r="I214">
        <v>12</v>
      </c>
      <c r="J214">
        <v>8</v>
      </c>
      <c r="L214">
        <v>70</v>
      </c>
      <c r="M214">
        <v>1.9</v>
      </c>
      <c r="P214">
        <v>3.8</v>
      </c>
      <c r="Q214">
        <v>5.1</v>
      </c>
      <c r="S214">
        <v>0.3</v>
      </c>
      <c r="T214">
        <v>1</v>
      </c>
      <c r="U214">
        <v>26</v>
      </c>
      <c r="V214" t="s">
        <v>782</v>
      </c>
      <c r="W214">
        <v>2385</v>
      </c>
      <c r="X214">
        <v>6</v>
      </c>
      <c r="Y214" t="s">
        <v>783</v>
      </c>
    </row>
    <row r="215" spans="1:25">
      <c r="A215" t="s">
        <v>784</v>
      </c>
      <c r="B215" s="2" t="str">
        <f>Hyperlink("https://www.diodes.com/datasheet/download/DMN1005UFDF.pdf")</f>
        <v>https://www.diodes.com/datasheet/download/DMN1005UFDF.pdf</v>
      </c>
      <c r="C215" t="str">
        <f>Hyperlink("https://www.diodes.com/part/view/DMN1005UFDF","DMN1005UFDF")</f>
        <v>DMN1005UFDF</v>
      </c>
      <c r="D215" t="s">
        <v>777</v>
      </c>
      <c r="E215" t="s">
        <v>30</v>
      </c>
      <c r="F215" t="s">
        <v>28</v>
      </c>
      <c r="G215" t="s">
        <v>29</v>
      </c>
      <c r="H215" t="s">
        <v>30</v>
      </c>
      <c r="I215">
        <v>12</v>
      </c>
      <c r="J215">
        <v>8</v>
      </c>
      <c r="K215">
        <v>14.1</v>
      </c>
      <c r="M215">
        <v>1.8</v>
      </c>
      <c r="P215">
        <v>6</v>
      </c>
      <c r="Q215">
        <v>10</v>
      </c>
      <c r="S215">
        <v>0.3</v>
      </c>
      <c r="T215">
        <v>1</v>
      </c>
      <c r="U215">
        <v>29.7</v>
      </c>
      <c r="W215">
        <v>2014</v>
      </c>
      <c r="X215">
        <v>6</v>
      </c>
      <c r="Y215" t="s">
        <v>780</v>
      </c>
    </row>
    <row r="216" spans="1:25">
      <c r="A216" t="s">
        <v>785</v>
      </c>
      <c r="B216" s="2" t="str">
        <f>Hyperlink("https://www.diodes.com/datasheet/download/DMN1006UCA6.pdf")</f>
        <v>https://www.diodes.com/datasheet/download/DMN1006UCA6.pdf</v>
      </c>
      <c r="C216" t="str">
        <f>Hyperlink("https://www.diodes.com/part/view/DMN1006UCA6","DMN1006UCA6")</f>
        <v>DMN1006UCA6</v>
      </c>
      <c r="D216" t="s">
        <v>768</v>
      </c>
      <c r="E216" t="s">
        <v>30</v>
      </c>
      <c r="F216" t="s">
        <v>28</v>
      </c>
      <c r="G216" t="s">
        <v>40</v>
      </c>
      <c r="H216" t="s">
        <v>27</v>
      </c>
      <c r="I216">
        <v>12</v>
      </c>
      <c r="J216">
        <v>12</v>
      </c>
      <c r="K216">
        <v>16.6</v>
      </c>
      <c r="M216">
        <v>2.4</v>
      </c>
      <c r="P216">
        <v>5.9</v>
      </c>
      <c r="Q216">
        <v>9</v>
      </c>
      <c r="S216">
        <v>0.5</v>
      </c>
      <c r="T216">
        <v>1.3</v>
      </c>
      <c r="U216">
        <v>35.2</v>
      </c>
      <c r="W216">
        <v>2360</v>
      </c>
      <c r="X216">
        <v>6</v>
      </c>
      <c r="Y216" t="s">
        <v>786</v>
      </c>
    </row>
    <row r="217" spans="1:25">
      <c r="A217" t="s">
        <v>787</v>
      </c>
      <c r="B217" s="2" t="str">
        <f>Hyperlink("https://www.diodes.com/datasheet/download/DMN1008UFDF.pdf")</f>
        <v>https://www.diodes.com/datasheet/download/DMN1008UFDF.pdf</v>
      </c>
      <c r="C217" t="str">
        <f>Hyperlink("https://www.diodes.com/part/view/DMN1008UFDF","DMN1008UFDF")</f>
        <v>DMN1008UFDF</v>
      </c>
      <c r="D217" t="s">
        <v>768</v>
      </c>
      <c r="E217" t="s">
        <v>30</v>
      </c>
      <c r="F217" t="s">
        <v>28</v>
      </c>
      <c r="G217" t="s">
        <v>29</v>
      </c>
      <c r="H217" t="s">
        <v>30</v>
      </c>
      <c r="I217">
        <v>12</v>
      </c>
      <c r="J217">
        <v>8</v>
      </c>
      <c r="K217">
        <v>12.2</v>
      </c>
      <c r="M217">
        <v>1.7</v>
      </c>
      <c r="P217">
        <v>8</v>
      </c>
      <c r="Q217">
        <v>12.5</v>
      </c>
      <c r="S217">
        <v>0.3</v>
      </c>
      <c r="T217">
        <v>1</v>
      </c>
      <c r="U217">
        <v>13.6</v>
      </c>
      <c r="V217" t="s">
        <v>788</v>
      </c>
      <c r="W217">
        <v>995</v>
      </c>
      <c r="X217">
        <v>6</v>
      </c>
      <c r="Y217" t="s">
        <v>780</v>
      </c>
    </row>
    <row r="218" spans="1:25">
      <c r="A218" t="s">
        <v>789</v>
      </c>
      <c r="B218" s="2" t="str">
        <f>Hyperlink("https://www.diodes.com/datasheet/download/DMN1008UFDFQ.pdf")</f>
        <v>https://www.diodes.com/datasheet/download/DMN1008UFDFQ.pdf</v>
      </c>
      <c r="C218" t="str">
        <f>Hyperlink("https://www.diodes.com/part/view/DMN1008UFDFQ","DMN1008UFDFQ")</f>
        <v>DMN1008UFDFQ</v>
      </c>
      <c r="D218" t="s">
        <v>768</v>
      </c>
      <c r="E218" t="s">
        <v>27</v>
      </c>
      <c r="F218" t="s">
        <v>37</v>
      </c>
      <c r="G218" t="s">
        <v>29</v>
      </c>
      <c r="H218" t="s">
        <v>30</v>
      </c>
      <c r="I218">
        <v>12</v>
      </c>
      <c r="J218">
        <v>8</v>
      </c>
      <c r="K218">
        <v>12.2</v>
      </c>
      <c r="M218">
        <v>1.7</v>
      </c>
      <c r="P218">
        <v>8</v>
      </c>
      <c r="Q218">
        <v>12.5</v>
      </c>
      <c r="T218">
        <v>1</v>
      </c>
      <c r="U218">
        <v>8</v>
      </c>
      <c r="W218">
        <v>995</v>
      </c>
      <c r="X218">
        <v>6</v>
      </c>
      <c r="Y218" t="s">
        <v>780</v>
      </c>
    </row>
    <row r="219" spans="1:25">
      <c r="A219" t="s">
        <v>790</v>
      </c>
      <c r="B219" s="2" t="str">
        <f>Hyperlink("https://www.diodes.com/datasheet/download/DMN1014UFDF.pdf")</f>
        <v>https://www.diodes.com/datasheet/download/DMN1014UFDF.pdf</v>
      </c>
      <c r="C219" t="str">
        <f>Hyperlink("https://www.diodes.com/part/view/DMN1014UFDF","DMN1014UFDF")</f>
        <v>DMN1014UFDF</v>
      </c>
      <c r="D219" t="s">
        <v>768</v>
      </c>
      <c r="E219" t="s">
        <v>30</v>
      </c>
      <c r="F219" t="s">
        <v>28</v>
      </c>
      <c r="G219" t="s">
        <v>29</v>
      </c>
      <c r="H219" t="s">
        <v>30</v>
      </c>
      <c r="I219">
        <v>12</v>
      </c>
      <c r="J219">
        <v>8</v>
      </c>
      <c r="K219">
        <v>8</v>
      </c>
      <c r="M219">
        <v>1.7</v>
      </c>
      <c r="P219">
        <v>16</v>
      </c>
      <c r="Q219">
        <v>25</v>
      </c>
      <c r="T219">
        <v>1</v>
      </c>
      <c r="U219">
        <v>6.4</v>
      </c>
      <c r="W219">
        <v>515</v>
      </c>
      <c r="Y219" t="s">
        <v>780</v>
      </c>
    </row>
    <row r="220" spans="1:25">
      <c r="A220" t="s">
        <v>791</v>
      </c>
      <c r="B220" s="2" t="str">
        <f>Hyperlink("https://www.diodes.com/datasheet/download/DMN1017UCP3.pdf")</f>
        <v>https://www.diodes.com/datasheet/download/DMN1017UCP3.pdf</v>
      </c>
      <c r="C220" t="str">
        <f>Hyperlink("https://www.diodes.com/part/view/DMN1017UCP3","DMN1017UCP3")</f>
        <v>DMN1017UCP3</v>
      </c>
      <c r="D220" t="s">
        <v>768</v>
      </c>
      <c r="E220" t="s">
        <v>30</v>
      </c>
      <c r="F220" t="s">
        <v>28</v>
      </c>
      <c r="G220" t="s">
        <v>29</v>
      </c>
      <c r="H220" t="s">
        <v>30</v>
      </c>
      <c r="I220">
        <v>12</v>
      </c>
      <c r="J220">
        <v>8</v>
      </c>
      <c r="K220">
        <v>7.5</v>
      </c>
      <c r="M220">
        <v>1.47</v>
      </c>
      <c r="Q220">
        <v>21</v>
      </c>
      <c r="R220">
        <v>30</v>
      </c>
      <c r="S220">
        <v>0.4</v>
      </c>
      <c r="T220">
        <v>1</v>
      </c>
      <c r="U220" t="s">
        <v>792</v>
      </c>
      <c r="W220">
        <v>1002</v>
      </c>
      <c r="X220">
        <v>6</v>
      </c>
      <c r="Y220" t="s">
        <v>793</v>
      </c>
    </row>
    <row r="221" spans="1:25">
      <c r="A221" t="s">
        <v>794</v>
      </c>
      <c r="B221" s="2" t="str">
        <f>Hyperlink("https://www.diodes.com/datasheet/download/DMN1019UFDE.pdf")</f>
        <v>https://www.diodes.com/datasheet/download/DMN1019UFDE.pdf</v>
      </c>
      <c r="C221" t="str">
        <f>Hyperlink("https://www.diodes.com/part/view/DMN1019UFDE","DMN1019UFDE")</f>
        <v>DMN1019UFDE</v>
      </c>
      <c r="D221" t="s">
        <v>631</v>
      </c>
      <c r="E221" t="s">
        <v>27</v>
      </c>
      <c r="F221" t="s">
        <v>28</v>
      </c>
      <c r="G221" t="s">
        <v>29</v>
      </c>
      <c r="H221" t="s">
        <v>27</v>
      </c>
      <c r="I221">
        <v>12</v>
      </c>
      <c r="J221">
        <v>8</v>
      </c>
      <c r="K221">
        <v>11</v>
      </c>
      <c r="M221">
        <v>2.17</v>
      </c>
      <c r="P221">
        <v>10</v>
      </c>
      <c r="Q221">
        <v>12</v>
      </c>
      <c r="R221">
        <v>14</v>
      </c>
      <c r="S221">
        <v>0.35</v>
      </c>
      <c r="T221">
        <v>0.8</v>
      </c>
      <c r="U221">
        <v>27.3</v>
      </c>
      <c r="V221" t="s">
        <v>795</v>
      </c>
      <c r="W221">
        <v>2480</v>
      </c>
      <c r="Y221" t="s">
        <v>778</v>
      </c>
    </row>
    <row r="222" spans="1:25">
      <c r="A222" t="s">
        <v>796</v>
      </c>
      <c r="B222" s="2" t="str">
        <f>Hyperlink("https://www.diodes.com/datasheet/download/DMN1019USN.pdf")</f>
        <v>https://www.diodes.com/datasheet/download/DMN1019USN.pdf</v>
      </c>
      <c r="C222" t="str">
        <f>Hyperlink("https://www.diodes.com/part/view/DMN1019USN","DMN1019USN")</f>
        <v>DMN1019USN</v>
      </c>
      <c r="D222" t="s">
        <v>631</v>
      </c>
      <c r="E222" t="s">
        <v>27</v>
      </c>
      <c r="F222" t="s">
        <v>28</v>
      </c>
      <c r="G222" t="s">
        <v>29</v>
      </c>
      <c r="H222" t="s">
        <v>27</v>
      </c>
      <c r="I222">
        <v>12</v>
      </c>
      <c r="J222">
        <v>8</v>
      </c>
      <c r="K222">
        <v>9.3</v>
      </c>
      <c r="M222">
        <v>1.2</v>
      </c>
      <c r="P222">
        <v>10</v>
      </c>
      <c r="Q222">
        <v>12</v>
      </c>
      <c r="R222">
        <v>14</v>
      </c>
      <c r="S222">
        <v>0.35</v>
      </c>
      <c r="T222">
        <v>0.8</v>
      </c>
      <c r="U222">
        <v>27.3</v>
      </c>
      <c r="V222" t="s">
        <v>795</v>
      </c>
      <c r="W222">
        <v>2480</v>
      </c>
      <c r="Y222" t="s">
        <v>98</v>
      </c>
    </row>
    <row r="223" spans="1:25">
      <c r="A223" t="s">
        <v>797</v>
      </c>
      <c r="B223" s="2" t="str">
        <f>Hyperlink("https://www.diodes.com/datasheet/download/DMN1019USNQ.pdf")</f>
        <v>https://www.diodes.com/datasheet/download/DMN1019USNQ.pdf</v>
      </c>
      <c r="C223" t="str">
        <f>Hyperlink("https://www.diodes.com/part/view/DMN1019USNQ","DMN1019USNQ")</f>
        <v>DMN1019USNQ</v>
      </c>
      <c r="D223" t="s">
        <v>768</v>
      </c>
      <c r="E223" t="s">
        <v>27</v>
      </c>
      <c r="F223" t="s">
        <v>37</v>
      </c>
      <c r="G223" t="s">
        <v>29</v>
      </c>
      <c r="H223" t="s">
        <v>27</v>
      </c>
      <c r="I223">
        <v>12</v>
      </c>
      <c r="J223">
        <v>8</v>
      </c>
      <c r="K223">
        <v>9.3</v>
      </c>
      <c r="M223">
        <v>1.2</v>
      </c>
      <c r="P223">
        <v>10</v>
      </c>
      <c r="Q223">
        <v>12</v>
      </c>
      <c r="R223">
        <v>14</v>
      </c>
      <c r="S223">
        <v>0.35</v>
      </c>
      <c r="T223">
        <v>0.8</v>
      </c>
      <c r="U223">
        <v>27.3</v>
      </c>
      <c r="V223" t="s">
        <v>795</v>
      </c>
      <c r="W223">
        <v>2480</v>
      </c>
      <c r="Y223" t="s">
        <v>98</v>
      </c>
    </row>
    <row r="224" spans="1:25">
      <c r="A224" t="s">
        <v>798</v>
      </c>
      <c r="B224" s="2" t="str">
        <f>Hyperlink("https://www.diodes.com/datasheet/download/DMN1019UVT.pdf")</f>
        <v>https://www.diodes.com/datasheet/download/DMN1019UVT.pdf</v>
      </c>
      <c r="C224" t="str">
        <f>Hyperlink("https://www.diodes.com/part/view/DMN1019UVT","DMN1019UVT")</f>
        <v>DMN1019UVT</v>
      </c>
      <c r="D224" t="s">
        <v>631</v>
      </c>
      <c r="E224" t="s">
        <v>27</v>
      </c>
      <c r="F224" t="s">
        <v>28</v>
      </c>
      <c r="G224" t="s">
        <v>29</v>
      </c>
      <c r="H224" t="s">
        <v>27</v>
      </c>
      <c r="I224">
        <v>12</v>
      </c>
      <c r="J224">
        <v>8</v>
      </c>
      <c r="K224">
        <v>10.7</v>
      </c>
      <c r="M224">
        <v>1.73</v>
      </c>
      <c r="P224">
        <v>10</v>
      </c>
      <c r="Q224">
        <v>12</v>
      </c>
      <c r="R224">
        <v>14</v>
      </c>
      <c r="T224">
        <v>0.8</v>
      </c>
      <c r="U224">
        <v>28</v>
      </c>
      <c r="V224" t="s">
        <v>799</v>
      </c>
      <c r="W224">
        <v>2588</v>
      </c>
      <c r="Y224" t="s">
        <v>183</v>
      </c>
    </row>
    <row r="225" spans="1:25">
      <c r="A225" t="s">
        <v>800</v>
      </c>
      <c r="B225" s="2" t="str">
        <f>Hyperlink("https://www.diodes.com/datasheet/download/DMN1021UCA4.pdf")</f>
        <v>https://www.diodes.com/datasheet/download/DMN1021UCA4.pdf</v>
      </c>
      <c r="C225" t="str">
        <f>Hyperlink("https://www.diodes.com/part/view/DMN1021UCA4","DMN1021UCA4")</f>
        <v>DMN1021UCA4</v>
      </c>
      <c r="D225" t="s">
        <v>26</v>
      </c>
      <c r="E225" t="s">
        <v>30</v>
      </c>
      <c r="F225" t="s">
        <v>28</v>
      </c>
      <c r="G225" t="s">
        <v>29</v>
      </c>
      <c r="H225" t="s">
        <v>30</v>
      </c>
      <c r="I225">
        <v>12</v>
      </c>
      <c r="J225">
        <v>8</v>
      </c>
      <c r="K225">
        <v>7.4</v>
      </c>
      <c r="M225">
        <v>1.8</v>
      </c>
      <c r="P225">
        <v>21</v>
      </c>
      <c r="Q225">
        <v>28</v>
      </c>
      <c r="R225">
        <v>43</v>
      </c>
      <c r="S225">
        <v>0.3</v>
      </c>
      <c r="T225">
        <v>1.2</v>
      </c>
      <c r="W225">
        <v>409</v>
      </c>
      <c r="X225">
        <v>10</v>
      </c>
      <c r="Y225" t="s">
        <v>801</v>
      </c>
    </row>
    <row r="226" spans="1:25">
      <c r="A226" t="s">
        <v>802</v>
      </c>
      <c r="B226" s="2" t="str">
        <f>Hyperlink("https://www.diodes.com/datasheet/download/DMN1025UFDB.pdf")</f>
        <v>https://www.diodes.com/datasheet/download/DMN1025UFDB.pdf</v>
      </c>
      <c r="C226" t="str">
        <f>Hyperlink("https://www.diodes.com/part/view/DMN1025UFDB","DMN1025UFDB")</f>
        <v>DMN1025UFDB</v>
      </c>
      <c r="D226" t="s">
        <v>631</v>
      </c>
      <c r="E226" t="s">
        <v>27</v>
      </c>
      <c r="F226" t="s">
        <v>28</v>
      </c>
      <c r="G226" t="s">
        <v>40</v>
      </c>
      <c r="H226" t="s">
        <v>27</v>
      </c>
      <c r="I226">
        <v>12</v>
      </c>
      <c r="J226">
        <v>10</v>
      </c>
      <c r="K226">
        <v>6.9</v>
      </c>
      <c r="M226">
        <v>1.7</v>
      </c>
      <c r="P226">
        <v>25</v>
      </c>
      <c r="Q226">
        <v>30</v>
      </c>
      <c r="R226">
        <v>38</v>
      </c>
      <c r="S226">
        <v>0.4</v>
      </c>
      <c r="T226">
        <v>1</v>
      </c>
      <c r="U226">
        <v>12.6</v>
      </c>
      <c r="V226" t="s">
        <v>803</v>
      </c>
      <c r="W226">
        <v>917</v>
      </c>
      <c r="Y226" t="s">
        <v>179</v>
      </c>
    </row>
    <row r="227" spans="1:25">
      <c r="A227" t="s">
        <v>804</v>
      </c>
      <c r="B227" s="2" t="str">
        <f>Hyperlink("https://www.diodes.com/datasheet/download/DMN1029UFDB.pdf")</f>
        <v>https://www.diodes.com/datasheet/download/DMN1029UFDB.pdf</v>
      </c>
      <c r="C227" t="str">
        <f>Hyperlink("https://www.diodes.com/part/view/DMN1029UFDB","DMN1029UFDB")</f>
        <v>DMN1029UFDB</v>
      </c>
      <c r="D227" t="s">
        <v>631</v>
      </c>
      <c r="E227" t="s">
        <v>30</v>
      </c>
      <c r="F227" t="s">
        <v>28</v>
      </c>
      <c r="G227" t="s">
        <v>40</v>
      </c>
      <c r="H227" t="s">
        <v>30</v>
      </c>
      <c r="I227">
        <v>12</v>
      </c>
      <c r="J227">
        <v>8</v>
      </c>
      <c r="K227">
        <v>5.6</v>
      </c>
      <c r="M227">
        <v>1.4</v>
      </c>
      <c r="P227">
        <v>29</v>
      </c>
      <c r="Q227">
        <v>34</v>
      </c>
      <c r="R227">
        <v>44</v>
      </c>
      <c r="S227">
        <v>0.4</v>
      </c>
      <c r="T227">
        <v>1</v>
      </c>
      <c r="U227">
        <v>10.5</v>
      </c>
      <c r="V227" t="s">
        <v>805</v>
      </c>
      <c r="W227">
        <v>914</v>
      </c>
      <c r="Y227" t="s">
        <v>179</v>
      </c>
    </row>
    <row r="228" spans="1:25">
      <c r="A228" t="s">
        <v>806</v>
      </c>
      <c r="B228" s="2" t="str">
        <f>Hyperlink("https://www.diodes.com/datasheet/download/DMN1032UCP4.pdf")</f>
        <v>https://www.diodes.com/datasheet/download/DMN1032UCP4.pdf</v>
      </c>
      <c r="C228" t="str">
        <f>Hyperlink("https://www.diodes.com/part/view/DMN1032UCP4","DMN1032UCP4")</f>
        <v>DMN1032UCP4</v>
      </c>
      <c r="D228" t="s">
        <v>26</v>
      </c>
      <c r="E228" t="s">
        <v>30</v>
      </c>
      <c r="F228" t="s">
        <v>28</v>
      </c>
      <c r="G228" t="s">
        <v>29</v>
      </c>
      <c r="H228" t="s">
        <v>30</v>
      </c>
      <c r="I228">
        <v>12</v>
      </c>
      <c r="J228">
        <v>8</v>
      </c>
      <c r="K228">
        <v>5</v>
      </c>
      <c r="M228">
        <v>1.01</v>
      </c>
      <c r="P228">
        <v>28</v>
      </c>
      <c r="Q228">
        <v>32</v>
      </c>
      <c r="R228">
        <v>42</v>
      </c>
      <c r="S228">
        <v>0.4</v>
      </c>
      <c r="T228">
        <v>1.2</v>
      </c>
      <c r="U228">
        <v>3.2</v>
      </c>
      <c r="W228">
        <v>325</v>
      </c>
      <c r="X228">
        <v>6</v>
      </c>
      <c r="Y228" t="s">
        <v>807</v>
      </c>
    </row>
    <row r="229" spans="1:25">
      <c r="A229" t="s">
        <v>808</v>
      </c>
      <c r="B229" s="2" t="str">
        <f>Hyperlink("https://www.diodes.com/datasheet/download/DMN1045UFR4.pdf")</f>
        <v>https://www.diodes.com/datasheet/download/DMN1045UFR4.pdf</v>
      </c>
      <c r="C229" t="str">
        <f>Hyperlink("https://www.diodes.com/part/view/DMN1045UFR4","DMN1045UFR4")</f>
        <v>DMN1045UFR4</v>
      </c>
      <c r="D229" t="s">
        <v>631</v>
      </c>
      <c r="E229" t="s">
        <v>27</v>
      </c>
      <c r="F229" t="s">
        <v>28</v>
      </c>
      <c r="G229" t="s">
        <v>29</v>
      </c>
      <c r="H229" t="s">
        <v>27</v>
      </c>
      <c r="I229">
        <v>12</v>
      </c>
      <c r="J229">
        <v>8</v>
      </c>
      <c r="K229">
        <v>3.2</v>
      </c>
      <c r="M229">
        <v>0.5</v>
      </c>
      <c r="P229">
        <v>45</v>
      </c>
      <c r="Q229">
        <v>64</v>
      </c>
      <c r="R229">
        <v>85</v>
      </c>
      <c r="S229">
        <v>0.4</v>
      </c>
      <c r="T229">
        <v>1</v>
      </c>
      <c r="U229">
        <v>4.8</v>
      </c>
      <c r="W229">
        <v>390</v>
      </c>
      <c r="Y229" t="s">
        <v>809</v>
      </c>
    </row>
    <row r="230" spans="1:25">
      <c r="A230" t="s">
        <v>810</v>
      </c>
      <c r="B230" s="2" t="str">
        <f>Hyperlink("https://www.diodes.com/datasheet/download/DMN1053UCP4.pdf")</f>
        <v>https://www.diodes.com/datasheet/download/DMN1053UCP4.pdf</v>
      </c>
      <c r="C230" t="str">
        <f>Hyperlink("https://www.diodes.com/part/view/DMN1053UCP4","DMN1053UCP4")</f>
        <v>DMN1053UCP4</v>
      </c>
      <c r="D230" t="s">
        <v>26</v>
      </c>
      <c r="E230" t="s">
        <v>30</v>
      </c>
      <c r="F230" t="s">
        <v>28</v>
      </c>
      <c r="G230" t="s">
        <v>29</v>
      </c>
      <c r="H230" t="s">
        <v>30</v>
      </c>
      <c r="I230">
        <v>12</v>
      </c>
      <c r="J230">
        <v>8</v>
      </c>
      <c r="K230">
        <v>4</v>
      </c>
      <c r="M230">
        <v>1.34</v>
      </c>
      <c r="P230">
        <v>42</v>
      </c>
      <c r="Q230">
        <v>50</v>
      </c>
      <c r="R230">
        <v>65</v>
      </c>
      <c r="T230">
        <v>0.7</v>
      </c>
      <c r="U230">
        <v>7.2</v>
      </c>
      <c r="W230">
        <v>612</v>
      </c>
      <c r="Y230" t="s">
        <v>811</v>
      </c>
    </row>
    <row r="231" spans="1:25">
      <c r="A231" t="s">
        <v>812</v>
      </c>
      <c r="B231" s="2" t="str">
        <f>Hyperlink("https://www.diodes.com/datasheet/download/DMN1054UCB4.pdf")</f>
        <v>https://www.diodes.com/datasheet/download/DMN1054UCB4.pdf</v>
      </c>
      <c r="C231" t="str">
        <f>Hyperlink("https://www.diodes.com/part/view/DMN1054UCB4","DMN1054UCB4")</f>
        <v>DMN1054UCB4</v>
      </c>
      <c r="D231" t="s">
        <v>26</v>
      </c>
      <c r="E231" t="s">
        <v>30</v>
      </c>
      <c r="F231" t="s">
        <v>28</v>
      </c>
      <c r="G231" t="s">
        <v>29</v>
      </c>
      <c r="H231" t="s">
        <v>30</v>
      </c>
      <c r="I231">
        <v>8</v>
      </c>
      <c r="J231">
        <v>5</v>
      </c>
      <c r="K231">
        <v>4</v>
      </c>
      <c r="M231">
        <v>1.34</v>
      </c>
      <c r="P231">
        <v>42</v>
      </c>
      <c r="Q231">
        <v>50</v>
      </c>
      <c r="R231">
        <v>65</v>
      </c>
      <c r="T231">
        <v>0.7</v>
      </c>
      <c r="U231">
        <v>9.6</v>
      </c>
      <c r="W231">
        <v>590</v>
      </c>
      <c r="X231">
        <v>6</v>
      </c>
      <c r="Y231" t="s">
        <v>813</v>
      </c>
    </row>
    <row r="232" spans="1:25">
      <c r="A232" t="s">
        <v>814</v>
      </c>
      <c r="B232" s="2" t="str">
        <f>Hyperlink("https://www.diodes.com/datasheet/download/DMN10H099SFG.pdf")</f>
        <v>https://www.diodes.com/datasheet/download/DMN10H099SFG.pdf</v>
      </c>
      <c r="C232" t="str">
        <f>Hyperlink("https://www.diodes.com/part/view/DMN10H099SFG","DMN10H099SFG")</f>
        <v>DMN10H099SFG</v>
      </c>
      <c r="D232" t="s">
        <v>759</v>
      </c>
      <c r="E232" t="s">
        <v>27</v>
      </c>
      <c r="F232" t="s">
        <v>28</v>
      </c>
      <c r="G232" t="s">
        <v>29</v>
      </c>
      <c r="H232" t="s">
        <v>30</v>
      </c>
      <c r="I232">
        <v>100</v>
      </c>
      <c r="J232">
        <v>20</v>
      </c>
      <c r="K232">
        <v>4.2</v>
      </c>
      <c r="M232">
        <v>2.31</v>
      </c>
      <c r="O232">
        <v>80</v>
      </c>
      <c r="P232" t="s">
        <v>815</v>
      </c>
      <c r="T232">
        <v>3</v>
      </c>
      <c r="U232">
        <v>12.2</v>
      </c>
      <c r="V232">
        <v>25.2</v>
      </c>
      <c r="W232">
        <v>1127</v>
      </c>
      <c r="Y232" t="s">
        <v>718</v>
      </c>
    </row>
    <row r="233" spans="1:25">
      <c r="A233" t="s">
        <v>816</v>
      </c>
      <c r="B233" s="2" t="str">
        <f>Hyperlink("https://www.diodes.com/datasheet/download/DMN10H099SK3.pdf")</f>
        <v>https://www.diodes.com/datasheet/download/DMN10H099SK3.pdf</v>
      </c>
      <c r="C233" t="str">
        <f>Hyperlink("https://www.diodes.com/part/view/DMN10H099SK3","DMN10H099SK3")</f>
        <v>DMN10H099SK3</v>
      </c>
      <c r="D233" t="s">
        <v>26</v>
      </c>
      <c r="E233" t="s">
        <v>27</v>
      </c>
      <c r="F233" t="s">
        <v>28</v>
      </c>
      <c r="G233" t="s">
        <v>29</v>
      </c>
      <c r="H233" t="s">
        <v>30</v>
      </c>
      <c r="I233">
        <v>100</v>
      </c>
      <c r="J233">
        <v>20</v>
      </c>
      <c r="L233">
        <v>17</v>
      </c>
      <c r="M233">
        <v>2.45</v>
      </c>
      <c r="N233">
        <v>34</v>
      </c>
      <c r="O233">
        <v>80</v>
      </c>
      <c r="P233" t="s">
        <v>815</v>
      </c>
      <c r="S233">
        <v>1.5</v>
      </c>
      <c r="T233">
        <v>3</v>
      </c>
      <c r="U233">
        <v>12.2</v>
      </c>
      <c r="V233">
        <v>25.2</v>
      </c>
      <c r="W233">
        <v>1172</v>
      </c>
      <c r="X233">
        <v>25</v>
      </c>
      <c r="Y233" t="s">
        <v>681</v>
      </c>
    </row>
    <row r="234" spans="1:25">
      <c r="A234" t="s">
        <v>817</v>
      </c>
      <c r="B234" s="2" t="str">
        <f>Hyperlink("https://www.diodes.com/datasheet/download/DMN10H100SK3.pdf")</f>
        <v>https://www.diodes.com/datasheet/download/DMN10H100SK3.pdf</v>
      </c>
      <c r="C234" t="str">
        <f>Hyperlink("https://www.diodes.com/part/view/DMN10H100SK3","DMN10H100SK3")</f>
        <v>DMN10H100SK3</v>
      </c>
      <c r="D234" t="s">
        <v>759</v>
      </c>
      <c r="E234" t="s">
        <v>30</v>
      </c>
      <c r="F234" t="s">
        <v>28</v>
      </c>
      <c r="G234" t="s">
        <v>29</v>
      </c>
      <c r="H234" t="s">
        <v>30</v>
      </c>
      <c r="I234">
        <v>100</v>
      </c>
      <c r="J234">
        <v>20</v>
      </c>
      <c r="L234">
        <v>18</v>
      </c>
      <c r="M234">
        <v>2.7</v>
      </c>
      <c r="N234">
        <v>37</v>
      </c>
      <c r="O234">
        <v>80</v>
      </c>
      <c r="P234">
        <v>100</v>
      </c>
      <c r="T234">
        <v>3</v>
      </c>
      <c r="U234">
        <v>12.2</v>
      </c>
      <c r="V234">
        <v>25.2</v>
      </c>
      <c r="W234">
        <v>1172</v>
      </c>
      <c r="X234">
        <v>50</v>
      </c>
      <c r="Y234" t="s">
        <v>681</v>
      </c>
    </row>
    <row r="235" spans="1:25">
      <c r="A235" t="s">
        <v>818</v>
      </c>
      <c r="B235" s="2" t="str">
        <f>Hyperlink("https://www.diodes.com/datasheet/download/DMN10H120SE.pdf")</f>
        <v>https://www.diodes.com/datasheet/download/DMN10H120SE.pdf</v>
      </c>
      <c r="C235" t="str">
        <f>Hyperlink("https://www.diodes.com/part/view/DMN10H120SE","DMN10H120SE")</f>
        <v>DMN10H120SE</v>
      </c>
      <c r="D235" t="s">
        <v>26</v>
      </c>
      <c r="E235" t="s">
        <v>27</v>
      </c>
      <c r="F235" t="s">
        <v>28</v>
      </c>
      <c r="G235" t="s">
        <v>29</v>
      </c>
      <c r="H235" t="s">
        <v>30</v>
      </c>
      <c r="I235">
        <v>100</v>
      </c>
      <c r="J235">
        <v>20</v>
      </c>
      <c r="K235">
        <v>3.6</v>
      </c>
      <c r="M235">
        <v>2.1</v>
      </c>
      <c r="O235">
        <v>110</v>
      </c>
      <c r="P235" t="s">
        <v>819</v>
      </c>
      <c r="T235">
        <v>3</v>
      </c>
      <c r="U235">
        <v>5.2</v>
      </c>
      <c r="V235">
        <v>10</v>
      </c>
      <c r="W235">
        <v>549</v>
      </c>
      <c r="X235">
        <v>50</v>
      </c>
      <c r="Y235" t="s">
        <v>820</v>
      </c>
    </row>
    <row r="236" spans="1:25">
      <c r="A236" t="s">
        <v>821</v>
      </c>
      <c r="B236" s="2" t="str">
        <f>Hyperlink("https://www.diodes.com/datasheet/download/DMN10H120SFG.pdf")</f>
        <v>https://www.diodes.com/datasheet/download/DMN10H120SFG.pdf</v>
      </c>
      <c r="C236" t="str">
        <f>Hyperlink("https://www.diodes.com/part/view/DMN10H120SFG","DMN10H120SFG")</f>
        <v>DMN10H120SFG</v>
      </c>
      <c r="D236" t="s">
        <v>759</v>
      </c>
      <c r="E236" t="s">
        <v>27</v>
      </c>
      <c r="F236" t="s">
        <v>28</v>
      </c>
      <c r="G236" t="s">
        <v>29</v>
      </c>
      <c r="H236" t="s">
        <v>30</v>
      </c>
      <c r="I236">
        <v>100</v>
      </c>
      <c r="J236">
        <v>20</v>
      </c>
      <c r="K236">
        <v>3.8</v>
      </c>
      <c r="M236">
        <v>2.4</v>
      </c>
      <c r="O236">
        <v>110</v>
      </c>
      <c r="P236" t="s">
        <v>819</v>
      </c>
      <c r="T236">
        <v>3</v>
      </c>
      <c r="U236">
        <v>5.2</v>
      </c>
      <c r="V236">
        <v>10.6</v>
      </c>
      <c r="W236">
        <v>549</v>
      </c>
      <c r="Y236" t="s">
        <v>718</v>
      </c>
    </row>
    <row r="237" spans="1:25">
      <c r="A237" t="s">
        <v>822</v>
      </c>
      <c r="B237" s="2" t="str">
        <f>Hyperlink("https://www.diodes.com/datasheet/download/DMN10H170SFDE.pdf")</f>
        <v>https://www.diodes.com/datasheet/download/DMN10H170SFDE.pdf</v>
      </c>
      <c r="C237" t="str">
        <f>Hyperlink("https://www.diodes.com/part/view/DMN10H170SFDE","DMN10H170SFDE")</f>
        <v>DMN10H170SFDE</v>
      </c>
      <c r="D237" t="s">
        <v>26</v>
      </c>
      <c r="E237" t="s">
        <v>27</v>
      </c>
      <c r="F237" t="s">
        <v>28</v>
      </c>
      <c r="G237" t="s">
        <v>29</v>
      </c>
      <c r="H237" t="s">
        <v>30</v>
      </c>
      <c r="I237">
        <v>100</v>
      </c>
      <c r="J237">
        <v>20</v>
      </c>
      <c r="K237">
        <v>2.9</v>
      </c>
      <c r="M237">
        <v>2</v>
      </c>
      <c r="O237">
        <v>160</v>
      </c>
      <c r="P237">
        <v>200</v>
      </c>
      <c r="T237">
        <v>3</v>
      </c>
      <c r="U237">
        <v>4.9</v>
      </c>
      <c r="V237">
        <v>9.7</v>
      </c>
      <c r="W237">
        <v>1167</v>
      </c>
      <c r="X237">
        <v>25</v>
      </c>
      <c r="Y237" t="s">
        <v>778</v>
      </c>
    </row>
    <row r="238" spans="1:25">
      <c r="A238" t="s">
        <v>823</v>
      </c>
      <c r="B238" s="2" t="str">
        <f>Hyperlink("https://www.diodes.com/datasheet/download/DMN10H170SFG.pdf")</f>
        <v>https://www.diodes.com/datasheet/download/DMN10H170SFG.pdf</v>
      </c>
      <c r="C238" t="str">
        <f>Hyperlink("https://www.diodes.com/part/view/DMN10H170SFG","DMN10H170SFG")</f>
        <v>DMN10H170SFG</v>
      </c>
      <c r="D238" t="s">
        <v>26</v>
      </c>
      <c r="E238" t="s">
        <v>27</v>
      </c>
      <c r="F238" t="s">
        <v>28</v>
      </c>
      <c r="G238" t="s">
        <v>29</v>
      </c>
      <c r="H238" t="s">
        <v>30</v>
      </c>
      <c r="I238">
        <v>100</v>
      </c>
      <c r="J238">
        <v>20</v>
      </c>
      <c r="K238">
        <v>2.9</v>
      </c>
      <c r="M238">
        <v>2</v>
      </c>
      <c r="O238">
        <v>122</v>
      </c>
      <c r="P238">
        <v>133</v>
      </c>
      <c r="T238">
        <v>3</v>
      </c>
      <c r="U238">
        <v>7</v>
      </c>
      <c r="V238">
        <v>14.9</v>
      </c>
      <c r="W238" t="s">
        <v>824</v>
      </c>
      <c r="Y238" t="s">
        <v>718</v>
      </c>
    </row>
    <row r="239" spans="1:25">
      <c r="A239" t="s">
        <v>825</v>
      </c>
      <c r="B239" s="2" t="str">
        <f>Hyperlink("https://www.diodes.com/datasheet/download/DMN10H170SFGQ.pdf")</f>
        <v>https://www.diodes.com/datasheet/download/DMN10H170SFGQ.pdf</v>
      </c>
      <c r="C239" t="str">
        <f>Hyperlink("https://www.diodes.com/part/view/DMN10H170SFGQ","DMN10H170SFGQ")</f>
        <v>DMN10H170SFGQ</v>
      </c>
      <c r="D239" t="s">
        <v>26</v>
      </c>
      <c r="E239" t="s">
        <v>27</v>
      </c>
      <c r="F239" t="s">
        <v>37</v>
      </c>
      <c r="G239" t="s">
        <v>29</v>
      </c>
      <c r="H239" t="s">
        <v>30</v>
      </c>
      <c r="I239">
        <v>100</v>
      </c>
      <c r="J239">
        <v>20</v>
      </c>
      <c r="K239">
        <v>2.9</v>
      </c>
      <c r="L239">
        <v>8.5</v>
      </c>
      <c r="M239">
        <v>2</v>
      </c>
      <c r="O239">
        <v>122</v>
      </c>
      <c r="P239">
        <v>133</v>
      </c>
      <c r="T239">
        <v>3</v>
      </c>
      <c r="U239">
        <v>7</v>
      </c>
      <c r="V239">
        <v>14.9</v>
      </c>
      <c r="W239">
        <v>870.7</v>
      </c>
      <c r="X239">
        <v>25</v>
      </c>
      <c r="Y239" t="s">
        <v>718</v>
      </c>
    </row>
    <row r="240" spans="1:25">
      <c r="A240" t="s">
        <v>826</v>
      </c>
      <c r="B240" s="2" t="str">
        <f>Hyperlink("https://www.diodes.com/datasheet/download/DMN10H170SK3.pdf")</f>
        <v>https://www.diodes.com/datasheet/download/DMN10H170SK3.pdf</v>
      </c>
      <c r="C240" t="str">
        <f>Hyperlink("https://www.diodes.com/part/view/DMN10H170SK3","DMN10H170SK3")</f>
        <v>DMN10H170SK3</v>
      </c>
      <c r="D240" t="s">
        <v>26</v>
      </c>
      <c r="E240" t="s">
        <v>27</v>
      </c>
      <c r="F240" t="s">
        <v>28</v>
      </c>
      <c r="G240" t="s">
        <v>29</v>
      </c>
      <c r="H240" t="s">
        <v>30</v>
      </c>
      <c r="I240">
        <v>100</v>
      </c>
      <c r="J240">
        <v>20</v>
      </c>
      <c r="L240">
        <v>12</v>
      </c>
      <c r="M240">
        <v>2.84</v>
      </c>
      <c r="N240">
        <v>42</v>
      </c>
      <c r="O240">
        <v>140</v>
      </c>
      <c r="P240">
        <v>160</v>
      </c>
      <c r="T240">
        <v>3</v>
      </c>
      <c r="U240">
        <v>4.9</v>
      </c>
      <c r="V240">
        <v>9.7</v>
      </c>
      <c r="W240">
        <v>1167</v>
      </c>
      <c r="X240">
        <v>25</v>
      </c>
      <c r="Y240" t="s">
        <v>681</v>
      </c>
    </row>
    <row r="241" spans="1:25">
      <c r="A241" t="s">
        <v>827</v>
      </c>
      <c r="B241" s="2" t="str">
        <f>Hyperlink("https://www.diodes.com/datasheet/download/DMN10H170SK3Q.pdf")</f>
        <v>https://www.diodes.com/datasheet/download/DMN10H170SK3Q.pdf</v>
      </c>
      <c r="C241" t="str">
        <f>Hyperlink("https://www.diodes.com/part/view/DMN10H170SK3Q","DMN10H170SK3Q")</f>
        <v>DMN10H170SK3Q</v>
      </c>
      <c r="D241" t="s">
        <v>759</v>
      </c>
      <c r="E241" t="s">
        <v>27</v>
      </c>
      <c r="F241" t="s">
        <v>37</v>
      </c>
      <c r="G241" t="s">
        <v>29</v>
      </c>
      <c r="H241" t="s">
        <v>30</v>
      </c>
      <c r="I241">
        <v>100</v>
      </c>
      <c r="J241">
        <v>20</v>
      </c>
      <c r="L241">
        <v>12</v>
      </c>
      <c r="M241">
        <v>2.84</v>
      </c>
      <c r="N241">
        <v>42</v>
      </c>
      <c r="O241">
        <v>140</v>
      </c>
      <c r="P241">
        <v>160</v>
      </c>
      <c r="T241">
        <v>3</v>
      </c>
      <c r="U241">
        <v>4.9</v>
      </c>
      <c r="V241">
        <v>9.7</v>
      </c>
      <c r="W241">
        <v>1167</v>
      </c>
      <c r="X241">
        <v>25</v>
      </c>
      <c r="Y241" t="s">
        <v>681</v>
      </c>
    </row>
    <row r="242" spans="1:25">
      <c r="A242" t="s">
        <v>828</v>
      </c>
      <c r="B242" s="2" t="str">
        <f>Hyperlink("https://www.diodes.com/datasheet/download/DMN10H170SVT.pdf")</f>
        <v>https://www.diodes.com/datasheet/download/DMN10H170SVT.pdf</v>
      </c>
      <c r="C242" t="str">
        <f>Hyperlink("https://www.diodes.com/part/view/DMN10H170SVT","DMN10H170SVT")</f>
        <v>DMN10H170SVT</v>
      </c>
      <c r="D242" t="s">
        <v>26</v>
      </c>
      <c r="E242" t="s">
        <v>27</v>
      </c>
      <c r="F242" t="s">
        <v>28</v>
      </c>
      <c r="G242" t="s">
        <v>29</v>
      </c>
      <c r="H242" t="s">
        <v>30</v>
      </c>
      <c r="I242">
        <v>100</v>
      </c>
      <c r="J242">
        <v>20</v>
      </c>
      <c r="K242">
        <v>2.6</v>
      </c>
      <c r="M242">
        <v>1.7</v>
      </c>
      <c r="O242">
        <v>160</v>
      </c>
      <c r="P242">
        <v>200</v>
      </c>
      <c r="T242">
        <v>3</v>
      </c>
      <c r="U242">
        <v>4.9</v>
      </c>
      <c r="V242">
        <v>9.7</v>
      </c>
      <c r="W242">
        <v>1167</v>
      </c>
      <c r="X242">
        <v>25</v>
      </c>
      <c r="Y242" t="s">
        <v>183</v>
      </c>
    </row>
    <row r="243" spans="1:25">
      <c r="A243" t="s">
        <v>829</v>
      </c>
      <c r="B243" s="2" t="str">
        <f>Hyperlink("https://www.diodes.com/datasheet/download/DMN10H170SVTQ.pdf")</f>
        <v>https://www.diodes.com/datasheet/download/DMN10H170SVTQ.pdf</v>
      </c>
      <c r="C243" t="str">
        <f>Hyperlink("https://www.diodes.com/part/view/DMN10H170SVTQ","DMN10H170SVTQ")</f>
        <v>DMN10H170SVTQ</v>
      </c>
      <c r="D243" t="s">
        <v>759</v>
      </c>
      <c r="E243" t="s">
        <v>27</v>
      </c>
      <c r="F243" t="s">
        <v>37</v>
      </c>
      <c r="G243" t="s">
        <v>29</v>
      </c>
      <c r="H243" t="s">
        <v>30</v>
      </c>
      <c r="I243">
        <v>100</v>
      </c>
      <c r="J243">
        <v>20</v>
      </c>
      <c r="K243">
        <v>2.6</v>
      </c>
      <c r="M243">
        <v>1.7</v>
      </c>
      <c r="O243">
        <v>160</v>
      </c>
      <c r="P243">
        <v>200</v>
      </c>
      <c r="T243">
        <v>3</v>
      </c>
      <c r="U243">
        <v>4.9</v>
      </c>
      <c r="V243">
        <v>9.7</v>
      </c>
      <c r="W243">
        <v>1167</v>
      </c>
      <c r="X243">
        <v>25</v>
      </c>
      <c r="Y243" t="s">
        <v>183</v>
      </c>
    </row>
    <row r="244" spans="1:25">
      <c r="A244" t="s">
        <v>830</v>
      </c>
      <c r="B244" s="2" t="str">
        <f>Hyperlink("https://www.diodes.com/datasheet/download/DMN10H220L.pdf")</f>
        <v>https://www.diodes.com/datasheet/download/DMN10H220L.pdf</v>
      </c>
      <c r="C244" t="str">
        <f>Hyperlink("https://www.diodes.com/part/view/DMN10H220L","DMN10H220L")</f>
        <v>DMN10H220L</v>
      </c>
      <c r="D244" t="s">
        <v>26</v>
      </c>
      <c r="E244" t="s">
        <v>27</v>
      </c>
      <c r="F244" t="s">
        <v>28</v>
      </c>
      <c r="G244" t="s">
        <v>29</v>
      </c>
      <c r="H244" t="s">
        <v>30</v>
      </c>
      <c r="I244">
        <v>100</v>
      </c>
      <c r="J244">
        <v>16</v>
      </c>
      <c r="K244">
        <v>1.6</v>
      </c>
      <c r="M244">
        <v>1.3</v>
      </c>
      <c r="O244">
        <v>220</v>
      </c>
      <c r="P244">
        <v>250</v>
      </c>
      <c r="T244">
        <v>2.5</v>
      </c>
      <c r="U244">
        <v>4.1</v>
      </c>
      <c r="V244">
        <v>8.3</v>
      </c>
      <c r="W244">
        <v>401</v>
      </c>
      <c r="Y244" t="s">
        <v>35</v>
      </c>
    </row>
    <row r="245" spans="1:25">
      <c r="A245" t="s">
        <v>831</v>
      </c>
      <c r="B245" s="2" t="str">
        <f>Hyperlink("https://www.diodes.com/datasheet/download/DMN10H220LDV.pdf")</f>
        <v>https://www.diodes.com/datasheet/download/DMN10H220LDV.pdf</v>
      </c>
      <c r="C245" t="str">
        <f>Hyperlink("https://www.diodes.com/part/view/DMN10H220LDV","DMN10H220LDV")</f>
        <v>DMN10H220LDV</v>
      </c>
      <c r="D245" t="s">
        <v>832</v>
      </c>
      <c r="E245" t="s">
        <v>30</v>
      </c>
      <c r="F245" t="s">
        <v>28</v>
      </c>
      <c r="G245" t="s">
        <v>40</v>
      </c>
      <c r="H245" t="s">
        <v>30</v>
      </c>
      <c r="I245">
        <v>100</v>
      </c>
      <c r="J245">
        <v>20</v>
      </c>
      <c r="L245">
        <v>10.5</v>
      </c>
      <c r="M245">
        <v>1.8</v>
      </c>
      <c r="N245">
        <v>40</v>
      </c>
      <c r="P245">
        <v>270</v>
      </c>
      <c r="T245">
        <v>2.5</v>
      </c>
      <c r="U245">
        <v>3.9</v>
      </c>
      <c r="V245">
        <v>7.3</v>
      </c>
      <c r="W245">
        <v>366</v>
      </c>
      <c r="X245">
        <v>50</v>
      </c>
      <c r="Y245" t="s">
        <v>718</v>
      </c>
    </row>
    <row r="246" spans="1:25">
      <c r="A246" t="s">
        <v>833</v>
      </c>
      <c r="B246" s="2" t="str">
        <f>Hyperlink("https://www.diodes.com/datasheet/download/DMN10H220LE.pdf")</f>
        <v>https://www.diodes.com/datasheet/download/DMN10H220LE.pdf</v>
      </c>
      <c r="C246" t="str">
        <f>Hyperlink("https://www.diodes.com/part/view/DMN10H220LE","DMN10H220LE")</f>
        <v>DMN10H220LE</v>
      </c>
      <c r="D246" t="s">
        <v>26</v>
      </c>
      <c r="E246" t="s">
        <v>27</v>
      </c>
      <c r="F246" t="s">
        <v>28</v>
      </c>
      <c r="G246" t="s">
        <v>29</v>
      </c>
      <c r="H246" t="s">
        <v>30</v>
      </c>
      <c r="I246">
        <v>100</v>
      </c>
      <c r="J246">
        <v>20</v>
      </c>
      <c r="K246">
        <v>2.3</v>
      </c>
      <c r="M246">
        <v>1.8</v>
      </c>
      <c r="O246">
        <v>220</v>
      </c>
      <c r="P246">
        <v>250</v>
      </c>
      <c r="T246">
        <v>2.5</v>
      </c>
      <c r="U246">
        <v>4.1</v>
      </c>
      <c r="V246">
        <v>8.3</v>
      </c>
      <c r="W246">
        <v>401</v>
      </c>
      <c r="Y246" t="s">
        <v>820</v>
      </c>
    </row>
    <row r="247" spans="1:25">
      <c r="A247" t="s">
        <v>834</v>
      </c>
      <c r="B247" s="2" t="str">
        <f>Hyperlink("https://www.diodes.com/datasheet/download/DMN10H220LFDF.pdf")</f>
        <v>https://www.diodes.com/datasheet/download/DMN10H220LFDF.pdf</v>
      </c>
      <c r="C247" t="str">
        <f>Hyperlink("https://www.diodes.com/part/view/DMN10H220LFDF","DMN10H220LFDF")</f>
        <v>DMN10H220LFDF</v>
      </c>
      <c r="D247" t="s">
        <v>759</v>
      </c>
      <c r="E247" t="s">
        <v>30</v>
      </c>
      <c r="F247" t="s">
        <v>28</v>
      </c>
      <c r="G247" t="s">
        <v>29</v>
      </c>
      <c r="H247" t="s">
        <v>30</v>
      </c>
      <c r="I247">
        <v>100</v>
      </c>
      <c r="J247">
        <v>20</v>
      </c>
      <c r="K247">
        <v>2.2</v>
      </c>
      <c r="M247">
        <v>1.6</v>
      </c>
      <c r="O247">
        <v>225</v>
      </c>
      <c r="P247">
        <v>290</v>
      </c>
      <c r="T247">
        <v>2.5</v>
      </c>
      <c r="U247">
        <v>3.7</v>
      </c>
      <c r="V247">
        <v>6.7</v>
      </c>
      <c r="W247">
        <v>384</v>
      </c>
      <c r="X247">
        <v>25</v>
      </c>
      <c r="Y247" t="s">
        <v>780</v>
      </c>
    </row>
    <row r="248" spans="1:25">
      <c r="A248" t="s">
        <v>835</v>
      </c>
      <c r="B248" s="2" t="str">
        <f>Hyperlink("https://www.diodes.com/datasheet/download/DMN10H220LFVW.pdf")</f>
        <v>https://www.diodes.com/datasheet/download/DMN10H220LFVW.pdf</v>
      </c>
      <c r="C248" t="str">
        <f>Hyperlink("https://www.diodes.com/part/view/DMN10H220LFVW","DMN10H220LFVW")</f>
        <v>DMN10H220LFVW</v>
      </c>
      <c r="D248" t="s">
        <v>759</v>
      </c>
      <c r="E248" t="s">
        <v>30</v>
      </c>
      <c r="F248" t="s">
        <v>28</v>
      </c>
      <c r="G248" t="s">
        <v>29</v>
      </c>
      <c r="H248" t="s">
        <v>30</v>
      </c>
      <c r="I248">
        <v>100</v>
      </c>
      <c r="J248">
        <v>20</v>
      </c>
      <c r="L248">
        <v>11</v>
      </c>
      <c r="M248">
        <v>2.4</v>
      </c>
      <c r="N248">
        <v>41</v>
      </c>
      <c r="O248">
        <v>222</v>
      </c>
      <c r="P248">
        <v>270</v>
      </c>
      <c r="T248">
        <v>2.5</v>
      </c>
      <c r="U248">
        <v>4.1</v>
      </c>
      <c r="V248">
        <v>7.4</v>
      </c>
      <c r="W248">
        <v>366</v>
      </c>
      <c r="X248">
        <v>50</v>
      </c>
      <c r="Y248" t="s">
        <v>836</v>
      </c>
    </row>
    <row r="249" spans="1:25">
      <c r="A249" t="s">
        <v>837</v>
      </c>
      <c r="B249" s="2" t="str">
        <f>Hyperlink("https://www.diodes.com/datasheet/download/DMN10H220LK3.pdf")</f>
        <v>https://www.diodes.com/datasheet/download/DMN10H220LK3.pdf</v>
      </c>
      <c r="C249" t="str">
        <f>Hyperlink("https://www.diodes.com/part/view/DMN10H220LK3","DMN10H220LK3")</f>
        <v>DMN10H220LK3</v>
      </c>
      <c r="D249" t="s">
        <v>26</v>
      </c>
      <c r="E249" t="s">
        <v>30</v>
      </c>
      <c r="F249" t="s">
        <v>28</v>
      </c>
      <c r="G249" t="s">
        <v>29</v>
      </c>
      <c r="H249" t="s">
        <v>30</v>
      </c>
      <c r="I249">
        <v>100</v>
      </c>
      <c r="J249">
        <v>20</v>
      </c>
      <c r="L249">
        <v>7.5</v>
      </c>
      <c r="N249">
        <v>18.7</v>
      </c>
      <c r="O249">
        <v>220</v>
      </c>
      <c r="P249">
        <v>250</v>
      </c>
      <c r="T249">
        <v>2.5</v>
      </c>
      <c r="U249">
        <v>3.7</v>
      </c>
      <c r="V249">
        <v>6.7</v>
      </c>
      <c r="W249">
        <v>384</v>
      </c>
      <c r="X249">
        <v>25</v>
      </c>
      <c r="Y249" t="s">
        <v>681</v>
      </c>
    </row>
    <row r="250" spans="1:25">
      <c r="A250" t="s">
        <v>838</v>
      </c>
      <c r="B250" s="2" t="str">
        <f>Hyperlink("https://www.diodes.com/datasheet/download/DMN10H220LPDW.pdf")</f>
        <v>https://www.diodes.com/datasheet/download/DMN10H220LPDW.pdf</v>
      </c>
      <c r="C250" t="str">
        <f>Hyperlink("https://www.diodes.com/part/view/DMN10H220LPDW","DMN10H220LPDW")</f>
        <v>DMN10H220LPDW</v>
      </c>
      <c r="D250" t="s">
        <v>26</v>
      </c>
      <c r="E250" t="s">
        <v>30</v>
      </c>
      <c r="F250" t="s">
        <v>28</v>
      </c>
      <c r="G250" t="s">
        <v>40</v>
      </c>
      <c r="H250" t="s">
        <v>30</v>
      </c>
      <c r="I250">
        <v>100</v>
      </c>
      <c r="J250">
        <v>20</v>
      </c>
      <c r="L250">
        <v>8</v>
      </c>
      <c r="M250">
        <v>2.2</v>
      </c>
      <c r="O250">
        <v>222</v>
      </c>
      <c r="P250">
        <v>270</v>
      </c>
      <c r="T250">
        <v>2.5</v>
      </c>
      <c r="U250">
        <v>3.7</v>
      </c>
      <c r="V250">
        <v>6.7</v>
      </c>
      <c r="W250">
        <v>384</v>
      </c>
      <c r="X250">
        <v>25</v>
      </c>
      <c r="Y250" t="s">
        <v>839</v>
      </c>
    </row>
    <row r="251" spans="1:25">
      <c r="A251" t="s">
        <v>840</v>
      </c>
      <c r="B251" s="2" t="str">
        <f>Hyperlink("https://www.diodes.com/datasheet/download/DMN10H220LQ.pdf")</f>
        <v>https://www.diodes.com/datasheet/download/DMN10H220LQ.pdf</v>
      </c>
      <c r="C251" t="str">
        <f>Hyperlink("https://www.diodes.com/part/view/DMN10H220LQ","DMN10H220LQ")</f>
        <v>DMN10H220LQ</v>
      </c>
      <c r="D251" t="s">
        <v>26</v>
      </c>
      <c r="E251" t="s">
        <v>27</v>
      </c>
      <c r="F251" t="s">
        <v>37</v>
      </c>
      <c r="G251" t="s">
        <v>29</v>
      </c>
      <c r="H251" t="s">
        <v>30</v>
      </c>
      <c r="I251">
        <v>100</v>
      </c>
      <c r="J251">
        <v>16</v>
      </c>
      <c r="K251">
        <v>1.6</v>
      </c>
      <c r="M251">
        <v>1.3</v>
      </c>
      <c r="O251">
        <v>220</v>
      </c>
      <c r="P251">
        <v>250</v>
      </c>
      <c r="S251">
        <v>1</v>
      </c>
      <c r="T251">
        <v>2.5</v>
      </c>
      <c r="U251">
        <v>4.1</v>
      </c>
      <c r="V251">
        <v>8.3</v>
      </c>
      <c r="W251">
        <v>401</v>
      </c>
      <c r="X251">
        <v>25</v>
      </c>
      <c r="Y251" t="s">
        <v>35</v>
      </c>
    </row>
    <row r="252" spans="1:25">
      <c r="A252" t="s">
        <v>841</v>
      </c>
      <c r="B252" s="2" t="str">
        <f>Hyperlink("https://www.diodes.com/datasheet/download/DMN10H220LVT.pdf")</f>
        <v>https://www.diodes.com/datasheet/download/DMN10H220LVT.pdf</v>
      </c>
      <c r="C252" t="str">
        <f>Hyperlink("https://www.diodes.com/part/view/DMN10H220LVT","DMN10H220LVT")</f>
        <v>DMN10H220LVT</v>
      </c>
      <c r="D252" t="s">
        <v>759</v>
      </c>
      <c r="E252" t="s">
        <v>30</v>
      </c>
      <c r="F252" t="s">
        <v>28</v>
      </c>
      <c r="G252" t="s">
        <v>29</v>
      </c>
      <c r="H252" t="s">
        <v>30</v>
      </c>
      <c r="I252">
        <v>100</v>
      </c>
      <c r="J252">
        <v>16</v>
      </c>
      <c r="K252">
        <v>2.24</v>
      </c>
      <c r="M252">
        <v>1.67</v>
      </c>
      <c r="O252">
        <v>220</v>
      </c>
      <c r="P252">
        <v>250</v>
      </c>
      <c r="T252">
        <v>2.5</v>
      </c>
      <c r="U252">
        <v>4.1</v>
      </c>
      <c r="V252">
        <v>8.3</v>
      </c>
      <c r="W252">
        <v>401</v>
      </c>
      <c r="X252">
        <v>25</v>
      </c>
      <c r="Y252" t="s">
        <v>183</v>
      </c>
    </row>
    <row r="253" spans="1:25">
      <c r="A253" t="s">
        <v>842</v>
      </c>
      <c r="B253" s="2" t="str">
        <f>Hyperlink("https://www.diodes.com/datasheet/download/DMN10H6D2LFDB.pdf")</f>
        <v>https://www.diodes.com/datasheet/download/DMN10H6D2LFDB.pdf</v>
      </c>
      <c r="C253" t="str">
        <f>Hyperlink("https://www.diodes.com/part/view/DMN10H6D2LFDB","DMN10H6D2LFDB")</f>
        <v>DMN10H6D2LFDB</v>
      </c>
      <c r="D253" t="s">
        <v>39</v>
      </c>
      <c r="E253" t="s">
        <v>30</v>
      </c>
      <c r="F253" t="s">
        <v>28</v>
      </c>
      <c r="G253" t="s">
        <v>40</v>
      </c>
      <c r="H253" t="s">
        <v>27</v>
      </c>
      <c r="I253">
        <v>100</v>
      </c>
      <c r="J253">
        <v>20</v>
      </c>
      <c r="K253">
        <v>0.27</v>
      </c>
      <c r="M253">
        <v>1</v>
      </c>
      <c r="O253">
        <v>6000</v>
      </c>
      <c r="P253">
        <v>10000</v>
      </c>
      <c r="T253">
        <v>2</v>
      </c>
      <c r="U253">
        <v>0.6</v>
      </c>
      <c r="V253">
        <v>1.2</v>
      </c>
      <c r="Y253" t="s">
        <v>179</v>
      </c>
    </row>
    <row r="254" spans="1:25">
      <c r="A254" t="s">
        <v>843</v>
      </c>
      <c r="B254" s="2" t="str">
        <f>Hyperlink("https://www.diodes.com/datasheet/download/DMN10H700S.pdf")</f>
        <v>https://www.diodes.com/datasheet/download/DMN10H700S.pdf</v>
      </c>
      <c r="C254" t="str">
        <f>Hyperlink("https://www.diodes.com/part/view/DMN10H700S","DMN10H700S")</f>
        <v>DMN10H700S</v>
      </c>
      <c r="D254" t="s">
        <v>759</v>
      </c>
      <c r="E254" t="s">
        <v>27</v>
      </c>
      <c r="F254" t="s">
        <v>28</v>
      </c>
      <c r="G254" t="s">
        <v>29</v>
      </c>
      <c r="H254" t="s">
        <v>30</v>
      </c>
      <c r="I254">
        <v>100</v>
      </c>
      <c r="J254">
        <v>20</v>
      </c>
      <c r="K254">
        <v>0.7</v>
      </c>
      <c r="M254">
        <v>0.4</v>
      </c>
      <c r="O254">
        <v>700</v>
      </c>
      <c r="P254" t="s">
        <v>844</v>
      </c>
      <c r="T254">
        <v>4</v>
      </c>
      <c r="V254">
        <v>4.6</v>
      </c>
      <c r="W254">
        <v>235</v>
      </c>
      <c r="X254">
        <v>50</v>
      </c>
      <c r="Y254" t="s">
        <v>35</v>
      </c>
    </row>
    <row r="255" spans="1:25">
      <c r="A255" t="s">
        <v>845</v>
      </c>
      <c r="B255" s="2" t="str">
        <f>Hyperlink("https://www.diodes.com/datasheet/download/DMN1150UFB.pdf")</f>
        <v>https://www.diodes.com/datasheet/download/DMN1150UFB.pdf</v>
      </c>
      <c r="C255" t="str">
        <f>Hyperlink("https://www.diodes.com/part/view/DMN1150UFB","DMN1150UFB")</f>
        <v>DMN1150UFB</v>
      </c>
      <c r="D255" t="s">
        <v>631</v>
      </c>
      <c r="E255" t="s">
        <v>27</v>
      </c>
      <c r="F255" t="s">
        <v>28</v>
      </c>
      <c r="G255" t="s">
        <v>29</v>
      </c>
      <c r="H255" t="s">
        <v>27</v>
      </c>
      <c r="I255">
        <v>12</v>
      </c>
      <c r="J255">
        <v>6</v>
      </c>
      <c r="K255">
        <v>1.4</v>
      </c>
      <c r="M255">
        <v>0.5</v>
      </c>
      <c r="P255">
        <v>150</v>
      </c>
      <c r="Q255">
        <v>185</v>
      </c>
      <c r="R255">
        <v>210</v>
      </c>
      <c r="S255">
        <v>0.35</v>
      </c>
      <c r="T255">
        <v>1</v>
      </c>
      <c r="U255">
        <v>1.5</v>
      </c>
      <c r="W255">
        <v>110</v>
      </c>
      <c r="Y255" t="s">
        <v>846</v>
      </c>
    </row>
    <row r="256" spans="1:25">
      <c r="A256" t="s">
        <v>847</v>
      </c>
      <c r="B256" s="2" t="str">
        <f>Hyperlink("https://www.diodes.com/datasheet/download/DMN1150UFL3.pdf")</f>
        <v>https://www.diodes.com/datasheet/download/DMN1150UFL3.pdf</v>
      </c>
      <c r="C256" t="str">
        <f>Hyperlink("https://www.diodes.com/part/view/DMN1150UFL3","DMN1150UFL3")</f>
        <v>DMN1150UFL3</v>
      </c>
      <c r="D256" t="s">
        <v>39</v>
      </c>
      <c r="E256" t="s">
        <v>27</v>
      </c>
      <c r="F256" t="s">
        <v>28</v>
      </c>
      <c r="G256" t="s">
        <v>40</v>
      </c>
      <c r="H256" t="s">
        <v>27</v>
      </c>
      <c r="I256">
        <v>12</v>
      </c>
      <c r="J256">
        <v>6</v>
      </c>
      <c r="K256">
        <v>2</v>
      </c>
      <c r="M256">
        <v>0.9</v>
      </c>
      <c r="P256">
        <v>150</v>
      </c>
      <c r="Q256">
        <v>185</v>
      </c>
      <c r="R256">
        <v>210</v>
      </c>
      <c r="S256">
        <v>0.35</v>
      </c>
      <c r="T256">
        <v>1</v>
      </c>
      <c r="U256">
        <v>1.4</v>
      </c>
      <c r="W256">
        <v>115</v>
      </c>
      <c r="X256">
        <v>6</v>
      </c>
      <c r="Y256" t="s">
        <v>528</v>
      </c>
    </row>
    <row r="257" spans="1:25">
      <c r="A257" t="s">
        <v>848</v>
      </c>
      <c r="B257" s="2" t="str">
        <f>Hyperlink("https://www.diodes.com/datasheet/download/DMN11M1UCA14.pdf")</f>
        <v>https://www.diodes.com/datasheet/download/DMN11M1UCA14.pdf</v>
      </c>
      <c r="C257" t="str">
        <f>Hyperlink("https://www.diodes.com/part/view/DMN11M1UCA14","DMN11M1UCA14")</f>
        <v>DMN11M1UCA14</v>
      </c>
      <c r="D257" t="s">
        <v>849</v>
      </c>
      <c r="E257" t="s">
        <v>30</v>
      </c>
      <c r="F257" t="s">
        <v>28</v>
      </c>
      <c r="G257" t="s">
        <v>29</v>
      </c>
      <c r="H257" t="s">
        <v>27</v>
      </c>
      <c r="I257">
        <v>12</v>
      </c>
      <c r="J257">
        <v>8</v>
      </c>
      <c r="K257">
        <v>33.3</v>
      </c>
      <c r="M257">
        <v>2</v>
      </c>
      <c r="P257">
        <v>1.85</v>
      </c>
      <c r="Q257">
        <v>3.4</v>
      </c>
      <c r="S257">
        <v>0.35</v>
      </c>
      <c r="T257">
        <v>1.4</v>
      </c>
      <c r="U257">
        <v>77.7</v>
      </c>
      <c r="W257">
        <v>3308</v>
      </c>
      <c r="X257">
        <v>6</v>
      </c>
      <c r="Y257" t="s">
        <v>850</v>
      </c>
    </row>
    <row r="258" spans="1:25">
      <c r="A258" t="s">
        <v>851</v>
      </c>
      <c r="B258" s="2" t="str">
        <f>Hyperlink("https://www.diodes.com/datasheet/download/DMN1250UFEL.pdf")</f>
        <v>https://www.diodes.com/datasheet/download/DMN1250UFEL.pdf</v>
      </c>
      <c r="C258" t="str">
        <f>Hyperlink("https://www.diodes.com/part/view/DMN1250UFEL","DMN1250UFEL")</f>
        <v>DMN1250UFEL</v>
      </c>
      <c r="D258" t="s">
        <v>26</v>
      </c>
      <c r="E258" t="s">
        <v>30</v>
      </c>
      <c r="F258" t="s">
        <v>28</v>
      </c>
      <c r="G258" t="s">
        <v>852</v>
      </c>
      <c r="H258" t="s">
        <v>30</v>
      </c>
      <c r="I258">
        <v>12</v>
      </c>
      <c r="J258">
        <v>8</v>
      </c>
      <c r="K258">
        <v>2</v>
      </c>
      <c r="M258">
        <v>1.25</v>
      </c>
      <c r="P258">
        <v>450</v>
      </c>
      <c r="Q258">
        <v>550</v>
      </c>
      <c r="T258">
        <v>1</v>
      </c>
      <c r="U258">
        <v>1.3</v>
      </c>
      <c r="W258">
        <v>146</v>
      </c>
      <c r="X258">
        <v>6</v>
      </c>
      <c r="Y258" t="s">
        <v>853</v>
      </c>
    </row>
    <row r="259" spans="1:25">
      <c r="A259" t="s">
        <v>854</v>
      </c>
      <c r="B259" s="2" t="str">
        <f>Hyperlink("https://www.diodes.com/datasheet/download/DMN1260UFA.pdf")</f>
        <v>https://www.diodes.com/datasheet/download/DMN1260UFA.pdf</v>
      </c>
      <c r="C259" t="str">
        <f>Hyperlink("https://www.diodes.com/part/view/DMN1260UFA","DMN1260UFA")</f>
        <v>DMN1260UFA</v>
      </c>
      <c r="D259" t="s">
        <v>631</v>
      </c>
      <c r="E259" t="s">
        <v>30</v>
      </c>
      <c r="F259" t="s">
        <v>28</v>
      </c>
      <c r="G259" t="s">
        <v>29</v>
      </c>
      <c r="H259" t="s">
        <v>27</v>
      </c>
      <c r="I259">
        <v>12</v>
      </c>
      <c r="J259">
        <v>8</v>
      </c>
      <c r="K259">
        <v>0.5</v>
      </c>
      <c r="M259">
        <v>0.36</v>
      </c>
      <c r="P259">
        <v>366</v>
      </c>
      <c r="Q259">
        <v>520</v>
      </c>
      <c r="R259">
        <v>950</v>
      </c>
      <c r="T259">
        <v>1</v>
      </c>
      <c r="U259">
        <v>0.96</v>
      </c>
      <c r="W259">
        <v>65</v>
      </c>
      <c r="Y259" t="s">
        <v>855</v>
      </c>
    </row>
    <row r="260" spans="1:25">
      <c r="A260" t="s">
        <v>856</v>
      </c>
      <c r="B260" s="2" t="str">
        <f>Hyperlink("https://www.diodes.com/datasheet/download/DMN12M3UCA6.pdf")</f>
        <v>https://www.diodes.com/datasheet/download/DMN12M3UCA6.pdf</v>
      </c>
      <c r="C260" t="str">
        <f>Hyperlink("https://www.diodes.com/part/view/DMN12M3UCA6","DMN12M3UCA6")</f>
        <v>DMN12M3UCA6</v>
      </c>
      <c r="D260" t="s">
        <v>857</v>
      </c>
      <c r="E260" t="s">
        <v>30</v>
      </c>
      <c r="F260" t="s">
        <v>28</v>
      </c>
      <c r="G260" t="s">
        <v>40</v>
      </c>
      <c r="H260" t="s">
        <v>27</v>
      </c>
      <c r="I260">
        <v>14</v>
      </c>
      <c r="J260">
        <v>8</v>
      </c>
      <c r="K260">
        <v>24.4</v>
      </c>
      <c r="M260">
        <v>2.47</v>
      </c>
      <c r="P260">
        <v>2.75</v>
      </c>
      <c r="Q260">
        <v>6.1</v>
      </c>
      <c r="S260">
        <v>0.35</v>
      </c>
      <c r="T260">
        <v>1.4</v>
      </c>
      <c r="U260" t="s">
        <v>772</v>
      </c>
      <c r="W260">
        <v>3062</v>
      </c>
      <c r="X260">
        <v>10</v>
      </c>
      <c r="Y260" t="s">
        <v>773</v>
      </c>
    </row>
    <row r="261" spans="1:25">
      <c r="A261" t="s">
        <v>858</v>
      </c>
      <c r="B261" s="2" t="str">
        <f>Hyperlink("https://www.diodes.com/datasheet/download/DMN12M7UCA10.pdf")</f>
        <v>https://www.diodes.com/datasheet/download/DMN12M7UCA10.pdf</v>
      </c>
      <c r="C261" t="str">
        <f>Hyperlink("https://www.diodes.com/part/view/DMN12M7UCA10","DMN12M7UCA10")</f>
        <v>DMN12M7UCA10</v>
      </c>
      <c r="D261" t="s">
        <v>26</v>
      </c>
      <c r="E261" t="s">
        <v>30</v>
      </c>
      <c r="F261" t="s">
        <v>28</v>
      </c>
      <c r="G261" t="s">
        <v>40</v>
      </c>
      <c r="H261" t="s">
        <v>27</v>
      </c>
      <c r="I261">
        <v>12</v>
      </c>
      <c r="J261">
        <v>8</v>
      </c>
      <c r="K261">
        <v>20.2</v>
      </c>
      <c r="M261">
        <v>1.73</v>
      </c>
      <c r="P261">
        <v>2.75</v>
      </c>
      <c r="Q261">
        <v>6.1</v>
      </c>
      <c r="S261">
        <v>0.5</v>
      </c>
      <c r="T261">
        <v>1.4</v>
      </c>
      <c r="U261" t="s">
        <v>859</v>
      </c>
      <c r="W261">
        <v>3039</v>
      </c>
      <c r="X261">
        <v>10</v>
      </c>
      <c r="Y261" t="s">
        <v>860</v>
      </c>
    </row>
    <row r="262" spans="1:25">
      <c r="A262" t="s">
        <v>861</v>
      </c>
      <c r="B262" s="2" t="str">
        <f>Hyperlink("https://www.diodes.com/datasheet/download/DMN12M8UCA10.pdf")</f>
        <v>https://www.diodes.com/datasheet/download/DMN12M8UCA10.pdf</v>
      </c>
      <c r="C262" t="str">
        <f>Hyperlink("https://www.diodes.com/part/view/DMN12M8UCA10","DMN12M8UCA10")</f>
        <v>DMN12M8UCA10</v>
      </c>
      <c r="D262" t="s">
        <v>26</v>
      </c>
      <c r="E262" t="s">
        <v>30</v>
      </c>
      <c r="F262" t="s">
        <v>28</v>
      </c>
      <c r="G262" t="s">
        <v>40</v>
      </c>
      <c r="H262" t="s">
        <v>27</v>
      </c>
      <c r="I262">
        <v>12</v>
      </c>
      <c r="J262">
        <v>8</v>
      </c>
      <c r="K262">
        <v>25</v>
      </c>
      <c r="M262">
        <v>2.75</v>
      </c>
      <c r="P262">
        <v>2.8</v>
      </c>
      <c r="Q262">
        <v>6.2</v>
      </c>
      <c r="S262">
        <v>0.5</v>
      </c>
      <c r="T262">
        <v>1.4</v>
      </c>
      <c r="U262" t="s">
        <v>862</v>
      </c>
      <c r="W262">
        <v>2504</v>
      </c>
      <c r="X262">
        <v>10</v>
      </c>
      <c r="Y262" t="s">
        <v>860</v>
      </c>
    </row>
    <row r="263" spans="1:25">
      <c r="A263" t="s">
        <v>863</v>
      </c>
      <c r="B263" s="2" t="str">
        <f>Hyperlink("https://www.diodes.com/datasheet/download/DMN13H750S.pdf")</f>
        <v>https://www.diodes.com/datasheet/download/DMN13H750S.pdf</v>
      </c>
      <c r="C263" t="str">
        <f>Hyperlink("https://www.diodes.com/part/view/DMN13H750S","DMN13H750S")</f>
        <v>DMN13H750S</v>
      </c>
      <c r="D263" t="s">
        <v>26</v>
      </c>
      <c r="E263" t="s">
        <v>27</v>
      </c>
      <c r="F263" t="s">
        <v>28</v>
      </c>
      <c r="G263" t="s">
        <v>29</v>
      </c>
      <c r="H263" t="s">
        <v>30</v>
      </c>
      <c r="I263">
        <v>130</v>
      </c>
      <c r="J263">
        <v>20</v>
      </c>
      <c r="K263">
        <v>1</v>
      </c>
      <c r="M263">
        <v>1.26</v>
      </c>
      <c r="O263">
        <v>750</v>
      </c>
      <c r="P263" t="s">
        <v>864</v>
      </c>
      <c r="T263">
        <v>4</v>
      </c>
      <c r="V263">
        <v>5.6</v>
      </c>
      <c r="W263">
        <v>231</v>
      </c>
      <c r="Y263" t="s">
        <v>35</v>
      </c>
    </row>
    <row r="264" spans="1:25">
      <c r="A264" t="s">
        <v>865</v>
      </c>
      <c r="B264" s="2" t="str">
        <f>Hyperlink("https://www.diodes.com/datasheet/download/DMN13M9UCA6.pdf")</f>
        <v>https://www.diodes.com/datasheet/download/DMN13M9UCA6.pdf</v>
      </c>
      <c r="C264" t="str">
        <f>Hyperlink("https://www.diodes.com/part/view/DMN13M9UCA6","DMN13M9UCA6")</f>
        <v>DMN13M9UCA6</v>
      </c>
      <c r="D264" t="s">
        <v>768</v>
      </c>
      <c r="E264" t="s">
        <v>30</v>
      </c>
      <c r="F264" t="s">
        <v>28</v>
      </c>
      <c r="G264" t="s">
        <v>40</v>
      </c>
      <c r="H264" t="s">
        <v>27</v>
      </c>
      <c r="I264">
        <v>12</v>
      </c>
      <c r="J264">
        <v>8</v>
      </c>
      <c r="K264">
        <v>23.6</v>
      </c>
      <c r="M264">
        <v>2.67</v>
      </c>
      <c r="P264">
        <v>3.2</v>
      </c>
      <c r="Q264">
        <v>6.5</v>
      </c>
      <c r="S264">
        <v>0.5</v>
      </c>
      <c r="T264">
        <v>1.3</v>
      </c>
      <c r="U264">
        <v>56.5</v>
      </c>
      <c r="W264">
        <v>3315</v>
      </c>
      <c r="X264">
        <v>6</v>
      </c>
      <c r="Y264" t="s">
        <v>866</v>
      </c>
    </row>
    <row r="265" spans="1:25">
      <c r="A265" t="s">
        <v>867</v>
      </c>
      <c r="B265" s="2" t="str">
        <f>Hyperlink("https://www.diodes.com/datasheet/download/DMN14M8UFDF.pdf")</f>
        <v>https://www.diodes.com/datasheet/download/DMN14M8UFDF.pdf</v>
      </c>
      <c r="C265" t="str">
        <f>Hyperlink("https://www.diodes.com/part/view/DMN14M8UFDF","DMN14M8UFDF")</f>
        <v>DMN14M8UFDF</v>
      </c>
      <c r="D265" t="s">
        <v>768</v>
      </c>
      <c r="E265" t="s">
        <v>30</v>
      </c>
      <c r="F265" t="s">
        <v>28</v>
      </c>
      <c r="G265" t="s">
        <v>29</v>
      </c>
      <c r="H265" t="s">
        <v>30</v>
      </c>
      <c r="I265">
        <v>12</v>
      </c>
      <c r="J265">
        <v>8</v>
      </c>
      <c r="K265">
        <v>14.7</v>
      </c>
      <c r="M265">
        <v>1.9</v>
      </c>
      <c r="P265">
        <v>6</v>
      </c>
      <c r="Q265">
        <v>9</v>
      </c>
      <c r="T265">
        <v>1.2</v>
      </c>
      <c r="U265">
        <v>14.6</v>
      </c>
      <c r="V265">
        <v>29.5</v>
      </c>
      <c r="W265">
        <v>1246</v>
      </c>
      <c r="X265">
        <v>6</v>
      </c>
      <c r="Y265" t="s">
        <v>780</v>
      </c>
    </row>
    <row r="266" spans="1:25">
      <c r="A266" t="s">
        <v>868</v>
      </c>
      <c r="B266" s="2" t="str">
        <f>Hyperlink("https://www.diodes.com/datasheet/download/DMN15H310SE.pdf")</f>
        <v>https://www.diodes.com/datasheet/download/DMN15H310SE.pdf</v>
      </c>
      <c r="C266" t="str">
        <f>Hyperlink("https://www.diodes.com/part/view/DMN15H310SE","DMN15H310SE")</f>
        <v>DMN15H310SE</v>
      </c>
      <c r="D266" t="s">
        <v>26</v>
      </c>
      <c r="E266" t="s">
        <v>27</v>
      </c>
      <c r="F266" t="s">
        <v>28</v>
      </c>
      <c r="G266" t="s">
        <v>29</v>
      </c>
      <c r="H266" t="s">
        <v>30</v>
      </c>
      <c r="I266">
        <v>150</v>
      </c>
      <c r="J266">
        <v>20</v>
      </c>
      <c r="K266">
        <v>2</v>
      </c>
      <c r="L266">
        <v>7.1</v>
      </c>
      <c r="M266">
        <v>1.9</v>
      </c>
      <c r="O266">
        <v>310</v>
      </c>
      <c r="P266" t="s">
        <v>869</v>
      </c>
      <c r="T266">
        <v>3</v>
      </c>
      <c r="U266" t="s">
        <v>870</v>
      </c>
      <c r="V266">
        <v>8.7</v>
      </c>
      <c r="W266">
        <v>405</v>
      </c>
      <c r="X266">
        <v>25</v>
      </c>
      <c r="Y266" t="s">
        <v>820</v>
      </c>
    </row>
    <row r="267" spans="1:25">
      <c r="A267" t="s">
        <v>871</v>
      </c>
      <c r="B267" s="2" t="str">
        <f>Hyperlink("https://www.diodes.com/datasheet/download/DMN15H310SK3.pdf")</f>
        <v>https://www.diodes.com/datasheet/download/DMN15H310SK3.pdf</v>
      </c>
      <c r="C267" t="str">
        <f>Hyperlink("https://www.diodes.com/part/view/DMN15H310SK3","DMN15H310SK3")</f>
        <v>DMN15H310SK3</v>
      </c>
      <c r="D267" t="s">
        <v>872</v>
      </c>
      <c r="E267" t="s">
        <v>27</v>
      </c>
      <c r="F267" t="s">
        <v>28</v>
      </c>
      <c r="G267" t="s">
        <v>29</v>
      </c>
      <c r="H267" t="s">
        <v>30</v>
      </c>
      <c r="I267">
        <v>150</v>
      </c>
      <c r="J267">
        <v>20</v>
      </c>
      <c r="L267">
        <v>8.3</v>
      </c>
      <c r="M267">
        <v>2.55</v>
      </c>
      <c r="N267">
        <v>32</v>
      </c>
      <c r="O267">
        <v>310</v>
      </c>
      <c r="P267" t="s">
        <v>869</v>
      </c>
      <c r="T267">
        <v>3</v>
      </c>
      <c r="U267" t="s">
        <v>870</v>
      </c>
      <c r="V267">
        <v>8.7</v>
      </c>
      <c r="W267">
        <v>405</v>
      </c>
      <c r="X267">
        <v>25</v>
      </c>
      <c r="Y267" t="s">
        <v>681</v>
      </c>
    </row>
    <row r="268" spans="1:25">
      <c r="A268" t="s">
        <v>873</v>
      </c>
      <c r="B268" s="2" t="str">
        <f>Hyperlink("https://www.diodes.com/datasheet/download/DMN15M3UCA6.pdf")</f>
        <v>https://www.diodes.com/datasheet/download/DMN15M3UCA6.pdf</v>
      </c>
      <c r="C268" t="str">
        <f>Hyperlink("https://www.diodes.com/part/view/DMN15M3UCA6","DMN15M3UCA6")</f>
        <v>DMN15M3UCA6</v>
      </c>
      <c r="D268" t="s">
        <v>857</v>
      </c>
      <c r="E268" t="s">
        <v>30</v>
      </c>
      <c r="F268" t="s">
        <v>28</v>
      </c>
      <c r="G268" t="s">
        <v>40</v>
      </c>
      <c r="H268" t="s">
        <v>27</v>
      </c>
      <c r="I268">
        <v>14</v>
      </c>
      <c r="J268">
        <v>12</v>
      </c>
      <c r="K268">
        <v>16.5</v>
      </c>
      <c r="M268">
        <v>2.4</v>
      </c>
      <c r="P268">
        <v>5.8</v>
      </c>
      <c r="Q268">
        <v>8</v>
      </c>
      <c r="S268">
        <v>0.5</v>
      </c>
      <c r="T268">
        <v>1.3</v>
      </c>
      <c r="U268">
        <v>35.2</v>
      </c>
      <c r="W268">
        <v>2360</v>
      </c>
      <c r="X268">
        <v>6</v>
      </c>
      <c r="Y268" t="s">
        <v>786</v>
      </c>
    </row>
    <row r="269" spans="1:25">
      <c r="A269" t="s">
        <v>874</v>
      </c>
      <c r="B269" s="2" t="str">
        <f>Hyperlink("https://www.diodes.com/datasheet/download/DMN15M5UCA4.pdf")</f>
        <v>https://www.diodes.com/datasheet/download/DMN15M5UCA4.pdf</v>
      </c>
      <c r="C269" t="str">
        <f>Hyperlink("https://www.diodes.com/part/view/DMN15M5UCA4","DMN15M5UCA4")</f>
        <v>DMN15M5UCA4</v>
      </c>
      <c r="D269" t="s">
        <v>849</v>
      </c>
      <c r="E269" t="s">
        <v>30</v>
      </c>
      <c r="F269" t="s">
        <v>28</v>
      </c>
      <c r="G269" t="s">
        <v>29</v>
      </c>
      <c r="H269" t="s">
        <v>27</v>
      </c>
      <c r="I269">
        <v>12</v>
      </c>
      <c r="J269">
        <v>8</v>
      </c>
      <c r="K269">
        <v>8.8</v>
      </c>
      <c r="M269">
        <v>1.8</v>
      </c>
      <c r="Q269" t="s">
        <v>875</v>
      </c>
      <c r="S269">
        <v>0.35</v>
      </c>
      <c r="T269">
        <v>1.4</v>
      </c>
      <c r="U269" t="s">
        <v>876</v>
      </c>
      <c r="W269">
        <v>1669</v>
      </c>
      <c r="X269">
        <v>6</v>
      </c>
      <c r="Y269" t="s">
        <v>877</v>
      </c>
    </row>
    <row r="270" spans="1:25">
      <c r="A270" t="s">
        <v>878</v>
      </c>
      <c r="B270" s="2" t="str">
        <f>Hyperlink("https://www.diodes.com/datasheet/download/DMN15M5UCA6.pdf")</f>
        <v>https://www.diodes.com/datasheet/download/DMN15M5UCA6.pdf</v>
      </c>
      <c r="C270" t="str">
        <f>Hyperlink("https://www.diodes.com/part/view/DMN15M5UCA6","DMN15M5UCA6")</f>
        <v>DMN15M5UCA6</v>
      </c>
      <c r="D270" t="s">
        <v>26</v>
      </c>
      <c r="E270" t="s">
        <v>30</v>
      </c>
      <c r="F270" t="s">
        <v>28</v>
      </c>
      <c r="G270" t="s">
        <v>40</v>
      </c>
      <c r="H270" t="s">
        <v>27</v>
      </c>
      <c r="I270">
        <v>12</v>
      </c>
      <c r="J270">
        <v>10.5</v>
      </c>
      <c r="K270">
        <v>16.5</v>
      </c>
      <c r="M270">
        <v>2</v>
      </c>
      <c r="P270">
        <v>5.1</v>
      </c>
      <c r="Q270">
        <v>10</v>
      </c>
      <c r="S270">
        <v>0.5</v>
      </c>
      <c r="T270">
        <v>1.3</v>
      </c>
      <c r="W270">
        <v>59</v>
      </c>
      <c r="X270">
        <v>10</v>
      </c>
      <c r="Y270" t="s">
        <v>879</v>
      </c>
    </row>
    <row r="271" spans="1:25">
      <c r="A271" t="s">
        <v>880</v>
      </c>
      <c r="B271" s="2" t="str">
        <f>Hyperlink("https://www.diodes.com/datasheet/download/DMN16M0UCA6.pdf")</f>
        <v>https://www.diodes.com/datasheet/download/DMN16M0UCA6.pdf</v>
      </c>
      <c r="C271" t="str">
        <f>Hyperlink("https://www.diodes.com/part/view/DMN16M0UCA6","DMN16M0UCA6")</f>
        <v>DMN16M0UCA6</v>
      </c>
      <c r="D271" t="s">
        <v>26</v>
      </c>
      <c r="E271" t="s">
        <v>30</v>
      </c>
      <c r="F271" t="s">
        <v>28</v>
      </c>
      <c r="G271" t="s">
        <v>40</v>
      </c>
      <c r="H271" t="s">
        <v>27</v>
      </c>
      <c r="I271">
        <v>12</v>
      </c>
      <c r="J271">
        <v>8</v>
      </c>
      <c r="K271">
        <v>17</v>
      </c>
      <c r="M271">
        <v>2.6</v>
      </c>
      <c r="P271">
        <v>5.9</v>
      </c>
      <c r="Q271">
        <v>11</v>
      </c>
      <c r="S271">
        <v>0.4</v>
      </c>
      <c r="T271">
        <v>1.3</v>
      </c>
      <c r="U271">
        <v>24</v>
      </c>
      <c r="Y271" t="s">
        <v>881</v>
      </c>
    </row>
    <row r="272" spans="1:25">
      <c r="A272" t="s">
        <v>882</v>
      </c>
      <c r="B272" s="2" t="str">
        <f>Hyperlink("https://www.diodes.com/datasheet/download/DMN16M7UCA6.pdf")</f>
        <v>https://www.diodes.com/datasheet/download/DMN16M7UCA6.pdf</v>
      </c>
      <c r="C272" t="str">
        <f>Hyperlink("https://www.diodes.com/part/view/DMN16M7UCA6","DMN16M7UCA6")</f>
        <v>DMN16M7UCA6</v>
      </c>
      <c r="D272" t="s">
        <v>849</v>
      </c>
      <c r="E272" t="s">
        <v>30</v>
      </c>
      <c r="F272" t="s">
        <v>28</v>
      </c>
      <c r="G272" t="s">
        <v>29</v>
      </c>
      <c r="H272" t="s">
        <v>27</v>
      </c>
      <c r="I272">
        <v>12</v>
      </c>
      <c r="J272">
        <v>8</v>
      </c>
      <c r="K272">
        <v>19.2</v>
      </c>
      <c r="M272">
        <v>2.1</v>
      </c>
      <c r="P272">
        <v>3.8</v>
      </c>
      <c r="Q272">
        <v>4</v>
      </c>
      <c r="S272">
        <v>0.5</v>
      </c>
      <c r="T272">
        <v>1.3</v>
      </c>
      <c r="U272">
        <v>45.4</v>
      </c>
      <c r="W272">
        <v>2333</v>
      </c>
      <c r="X272">
        <v>6</v>
      </c>
      <c r="Y272" t="s">
        <v>883</v>
      </c>
    </row>
    <row r="273" spans="1:25">
      <c r="A273" t="s">
        <v>884</v>
      </c>
      <c r="B273" s="2" t="str">
        <f>Hyperlink("https://www.diodes.com/datasheet/download/DMN16M8UCA6.pdf")</f>
        <v>https://www.diodes.com/datasheet/download/DMN16M8UCA6.pdf</v>
      </c>
      <c r="C273" t="str">
        <f>Hyperlink("https://www.diodes.com/part/view/DMN16M8UCA6","DMN16M8UCA6")</f>
        <v>DMN16M8UCA6</v>
      </c>
      <c r="D273" t="s">
        <v>849</v>
      </c>
      <c r="E273" t="s">
        <v>27</v>
      </c>
      <c r="F273" t="s">
        <v>28</v>
      </c>
      <c r="G273" t="s">
        <v>29</v>
      </c>
      <c r="H273" t="s">
        <v>27</v>
      </c>
      <c r="I273">
        <v>12</v>
      </c>
      <c r="J273">
        <v>8</v>
      </c>
      <c r="K273">
        <v>15.5</v>
      </c>
      <c r="M273">
        <v>2.1</v>
      </c>
      <c r="P273">
        <v>5.6</v>
      </c>
      <c r="Q273">
        <v>8.0</v>
      </c>
      <c r="S273">
        <v>0.5</v>
      </c>
      <c r="T273">
        <v>1.3</v>
      </c>
      <c r="U273">
        <v>45.4</v>
      </c>
      <c r="W273">
        <v>2333</v>
      </c>
      <c r="X273">
        <v>6</v>
      </c>
      <c r="Y273" t="s">
        <v>786</v>
      </c>
    </row>
    <row r="274" spans="1:25">
      <c r="A274" t="s">
        <v>885</v>
      </c>
      <c r="B274" s="2" t="str">
        <f>Hyperlink("https://www.diodes.com/datasheet/download/DMN16M9UCA6.pdf")</f>
        <v>https://www.diodes.com/datasheet/download/DMN16M9UCA6.pdf</v>
      </c>
      <c r="C274" t="str">
        <f>Hyperlink("https://www.diodes.com/part/view/DMN16M9UCA6","DMN16M9UCA6")</f>
        <v>DMN16M9UCA6</v>
      </c>
      <c r="D274" t="s">
        <v>768</v>
      </c>
      <c r="E274" t="s">
        <v>30</v>
      </c>
      <c r="F274" t="s">
        <v>28</v>
      </c>
      <c r="G274" t="s">
        <v>40</v>
      </c>
      <c r="H274" t="s">
        <v>27</v>
      </c>
      <c r="I274">
        <v>12</v>
      </c>
      <c r="J274">
        <v>12</v>
      </c>
      <c r="K274">
        <v>16.6</v>
      </c>
      <c r="M274">
        <v>2.4</v>
      </c>
      <c r="P274">
        <v>6.5</v>
      </c>
      <c r="Q274">
        <v>11.4</v>
      </c>
      <c r="S274">
        <v>0.5</v>
      </c>
      <c r="T274">
        <v>1.3</v>
      </c>
      <c r="U274">
        <v>35.2</v>
      </c>
      <c r="W274">
        <v>2360</v>
      </c>
      <c r="X274">
        <v>6</v>
      </c>
      <c r="Y274" t="s">
        <v>886</v>
      </c>
    </row>
    <row r="275" spans="1:25">
      <c r="A275" t="s">
        <v>887</v>
      </c>
      <c r="B275" s="2" t="str">
        <f>Hyperlink("https://www.diodes.com/datasheet/download/DMN2002UFG.pdf")</f>
        <v>https://www.diodes.com/datasheet/download/DMN2002UFG.pdf</v>
      </c>
      <c r="C275" t="str">
        <f>Hyperlink("https://www.diodes.com/part/view/DMN2002UFG","DMN2002UFG")</f>
        <v>DMN2002UFG</v>
      </c>
      <c r="D275" t="s">
        <v>888</v>
      </c>
      <c r="E275" t="s">
        <v>30</v>
      </c>
      <c r="F275" t="s">
        <v>28</v>
      </c>
      <c r="G275" t="s">
        <v>29</v>
      </c>
      <c r="H275" t="s">
        <v>30</v>
      </c>
      <c r="I275">
        <v>20</v>
      </c>
      <c r="J275">
        <v>12</v>
      </c>
      <c r="L275">
        <v>180</v>
      </c>
      <c r="M275">
        <v>2.2</v>
      </c>
      <c r="O275">
        <v>1.4</v>
      </c>
      <c r="P275">
        <v>1.7</v>
      </c>
      <c r="Q275">
        <v>2.4</v>
      </c>
      <c r="S275">
        <v>0.5</v>
      </c>
      <c r="T275">
        <v>1.3</v>
      </c>
      <c r="U275">
        <v>53</v>
      </c>
      <c r="V275">
        <v>99</v>
      </c>
      <c r="W275">
        <v>3926</v>
      </c>
      <c r="X275">
        <v>10</v>
      </c>
      <c r="Y275" t="s">
        <v>718</v>
      </c>
    </row>
    <row r="276" spans="1:25">
      <c r="A276" t="s">
        <v>889</v>
      </c>
      <c r="B276" s="2" t="str">
        <f>Hyperlink("https://www.diodes.com/datasheet/download/DMN2004DMK.pdf")</f>
        <v>https://www.diodes.com/datasheet/download/DMN2004DMK.pdf</v>
      </c>
      <c r="C276" t="str">
        <f>Hyperlink("https://www.diodes.com/part/view/DMN2004DMK","DMN2004DMK")</f>
        <v>DMN2004DMK</v>
      </c>
      <c r="D276" t="s">
        <v>631</v>
      </c>
      <c r="E276" t="s">
        <v>27</v>
      </c>
      <c r="F276" t="s">
        <v>28</v>
      </c>
      <c r="G276" t="s">
        <v>40</v>
      </c>
      <c r="H276" t="s">
        <v>27</v>
      </c>
      <c r="I276">
        <v>20</v>
      </c>
      <c r="J276">
        <v>8</v>
      </c>
      <c r="K276">
        <v>0.54</v>
      </c>
      <c r="M276">
        <v>0.225</v>
      </c>
      <c r="P276">
        <v>550</v>
      </c>
      <c r="Q276">
        <v>700</v>
      </c>
      <c r="R276">
        <v>900</v>
      </c>
      <c r="S276">
        <v>0.5</v>
      </c>
      <c r="T276">
        <v>1</v>
      </c>
      <c r="W276">
        <v>87</v>
      </c>
      <c r="Y276" t="s">
        <v>339</v>
      </c>
    </row>
    <row r="277" spans="1:25">
      <c r="A277" t="s">
        <v>890</v>
      </c>
      <c r="B277" s="2" t="str">
        <f>Hyperlink("https://www.diodes.com/datasheet/download/DMN2004DWK.pdf")</f>
        <v>https://www.diodes.com/datasheet/download/DMN2004DWK.pdf</v>
      </c>
      <c r="C277" t="str">
        <f>Hyperlink("https://www.diodes.com/part/view/DMN2004DWK","DMN2004DWK")</f>
        <v>DMN2004DWK</v>
      </c>
      <c r="D277" t="s">
        <v>631</v>
      </c>
      <c r="E277" t="s">
        <v>27</v>
      </c>
      <c r="F277" t="s">
        <v>28</v>
      </c>
      <c r="G277" t="s">
        <v>40</v>
      </c>
      <c r="H277" t="s">
        <v>27</v>
      </c>
      <c r="I277">
        <v>20</v>
      </c>
      <c r="J277">
        <v>8</v>
      </c>
      <c r="K277">
        <v>0.54</v>
      </c>
      <c r="M277">
        <v>0.2</v>
      </c>
      <c r="P277">
        <v>550</v>
      </c>
      <c r="Q277">
        <v>700</v>
      </c>
      <c r="R277">
        <v>900</v>
      </c>
      <c r="S277">
        <v>0.5</v>
      </c>
      <c r="T277">
        <v>1</v>
      </c>
      <c r="U277">
        <v>0.53</v>
      </c>
      <c r="V277" t="s">
        <v>891</v>
      </c>
      <c r="W277">
        <v>87</v>
      </c>
      <c r="Y277" t="s">
        <v>42</v>
      </c>
    </row>
    <row r="278" spans="1:25">
      <c r="A278" t="s">
        <v>892</v>
      </c>
      <c r="B278" s="2" t="str">
        <f>Hyperlink("https://www.diodes.com/datasheet/download/DMN2004K.pdf")</f>
        <v>https://www.diodes.com/datasheet/download/DMN2004K.pdf</v>
      </c>
      <c r="C278" t="str">
        <f>Hyperlink("https://www.diodes.com/part/view/DMN2004K","DMN2004K")</f>
        <v>DMN2004K</v>
      </c>
      <c r="D278" t="s">
        <v>631</v>
      </c>
      <c r="E278" t="s">
        <v>27</v>
      </c>
      <c r="F278" t="s">
        <v>28</v>
      </c>
      <c r="G278" t="s">
        <v>29</v>
      </c>
      <c r="H278" t="s">
        <v>27</v>
      </c>
      <c r="I278">
        <v>20</v>
      </c>
      <c r="J278">
        <v>8</v>
      </c>
      <c r="K278">
        <v>0.63</v>
      </c>
      <c r="M278">
        <v>0.35</v>
      </c>
      <c r="P278">
        <v>550</v>
      </c>
      <c r="Q278">
        <v>700</v>
      </c>
      <c r="R278">
        <v>900</v>
      </c>
      <c r="S278">
        <v>0.5</v>
      </c>
      <c r="T278">
        <v>1</v>
      </c>
      <c r="U278">
        <v>0.9</v>
      </c>
      <c r="W278">
        <v>87</v>
      </c>
      <c r="Y278" t="s">
        <v>35</v>
      </c>
    </row>
    <row r="279" spans="1:25">
      <c r="A279" t="s">
        <v>893</v>
      </c>
      <c r="B279" s="2" t="str">
        <f>Hyperlink("https://www.diodes.com/datasheet/download/DMN2004TK.pdf")</f>
        <v>https://www.diodes.com/datasheet/download/DMN2004TK.pdf</v>
      </c>
      <c r="C279" t="str">
        <f>Hyperlink("https://www.diodes.com/part/view/DMN2004TK","DMN2004TK")</f>
        <v>DMN2004TK</v>
      </c>
      <c r="D279" t="s">
        <v>631</v>
      </c>
      <c r="E279" t="s">
        <v>27</v>
      </c>
      <c r="F279" t="s">
        <v>28</v>
      </c>
      <c r="G279" t="s">
        <v>29</v>
      </c>
      <c r="H279" t="s">
        <v>27</v>
      </c>
      <c r="I279">
        <v>20</v>
      </c>
      <c r="J279">
        <v>8</v>
      </c>
      <c r="K279">
        <v>0.54</v>
      </c>
      <c r="M279">
        <v>0.15</v>
      </c>
      <c r="P279">
        <v>550</v>
      </c>
      <c r="Q279">
        <v>700</v>
      </c>
      <c r="R279">
        <v>900</v>
      </c>
      <c r="S279">
        <v>0.5</v>
      </c>
      <c r="T279">
        <v>1</v>
      </c>
      <c r="W279">
        <v>87</v>
      </c>
      <c r="Y279" t="s">
        <v>56</v>
      </c>
    </row>
    <row r="280" spans="1:25">
      <c r="A280" t="s">
        <v>894</v>
      </c>
      <c r="B280" s="2" t="str">
        <f>Hyperlink("https://www.diodes.com/datasheet/download/DMN2004VK.pdf")</f>
        <v>https://www.diodes.com/datasheet/download/DMN2004VK.pdf</v>
      </c>
      <c r="C280" t="str">
        <f>Hyperlink("https://www.diodes.com/part/view/DMN2004VK","DMN2004VK")</f>
        <v>DMN2004VK</v>
      </c>
      <c r="D280" t="s">
        <v>631</v>
      </c>
      <c r="E280" t="s">
        <v>27</v>
      </c>
      <c r="F280" t="s">
        <v>28</v>
      </c>
      <c r="G280" t="s">
        <v>40</v>
      </c>
      <c r="H280" t="s">
        <v>27</v>
      </c>
      <c r="I280">
        <v>20</v>
      </c>
      <c r="J280">
        <v>8</v>
      </c>
      <c r="K280">
        <v>0.54</v>
      </c>
      <c r="M280">
        <v>0.25</v>
      </c>
      <c r="P280">
        <v>550</v>
      </c>
      <c r="Q280">
        <v>700</v>
      </c>
      <c r="R280">
        <v>900</v>
      </c>
      <c r="S280">
        <v>0.5</v>
      </c>
      <c r="T280">
        <v>1</v>
      </c>
      <c r="W280">
        <v>87</v>
      </c>
      <c r="Y280" t="s">
        <v>60</v>
      </c>
    </row>
    <row r="281" spans="1:25">
      <c r="A281" t="s">
        <v>895</v>
      </c>
      <c r="B281" s="2" t="str">
        <f>Hyperlink("https://www.diodes.com/datasheet/download/DMN2004WK.pdf")</f>
        <v>https://www.diodes.com/datasheet/download/DMN2004WK.pdf</v>
      </c>
      <c r="C281" t="str">
        <f>Hyperlink("https://www.diodes.com/part/view/DMN2004WK","DMN2004WK")</f>
        <v>DMN2004WK</v>
      </c>
      <c r="D281" t="s">
        <v>631</v>
      </c>
      <c r="E281" t="s">
        <v>27</v>
      </c>
      <c r="F281" t="s">
        <v>28</v>
      </c>
      <c r="G281" t="s">
        <v>29</v>
      </c>
      <c r="H281" t="s">
        <v>27</v>
      </c>
      <c r="I281">
        <v>20</v>
      </c>
      <c r="J281">
        <v>8</v>
      </c>
      <c r="K281">
        <v>0.54</v>
      </c>
      <c r="M281">
        <v>0.2</v>
      </c>
      <c r="P281">
        <v>550</v>
      </c>
      <c r="Q281">
        <v>700</v>
      </c>
      <c r="R281">
        <v>900</v>
      </c>
      <c r="S281">
        <v>0.5</v>
      </c>
      <c r="T281">
        <v>1</v>
      </c>
      <c r="W281">
        <v>87</v>
      </c>
      <c r="Y281" t="s">
        <v>92</v>
      </c>
    </row>
    <row r="282" spans="1:25">
      <c r="A282" t="s">
        <v>896</v>
      </c>
      <c r="B282" s="2" t="str">
        <f>Hyperlink("https://www.diodes.com/datasheet/download/DMN2004WKQ.pdf")</f>
        <v>https://www.diodes.com/datasheet/download/DMN2004WKQ.pdf</v>
      </c>
      <c r="C282" t="str">
        <f>Hyperlink("https://www.diodes.com/part/view/DMN2004WKQ","DMN2004WKQ")</f>
        <v>DMN2004WKQ</v>
      </c>
      <c r="D282" t="s">
        <v>26</v>
      </c>
      <c r="E282" t="s">
        <v>27</v>
      </c>
      <c r="F282" t="s">
        <v>37</v>
      </c>
      <c r="G282" t="s">
        <v>29</v>
      </c>
      <c r="H282" t="s">
        <v>27</v>
      </c>
      <c r="I282">
        <v>20</v>
      </c>
      <c r="J282">
        <v>8</v>
      </c>
      <c r="K282">
        <v>0.54</v>
      </c>
      <c r="M282">
        <v>0.2</v>
      </c>
      <c r="P282">
        <v>550</v>
      </c>
      <c r="Q282">
        <v>700</v>
      </c>
      <c r="R282">
        <v>900</v>
      </c>
      <c r="S282">
        <v>0.5</v>
      </c>
      <c r="T282">
        <v>1</v>
      </c>
      <c r="X282">
        <v>16</v>
      </c>
      <c r="Y282" t="s">
        <v>92</v>
      </c>
    </row>
    <row r="283" spans="1:25">
      <c r="A283" t="s">
        <v>897</v>
      </c>
      <c r="B283" s="2" t="str">
        <f>Hyperlink("https://www.diodes.com/datasheet/download/DMN2005DLP4K.pdf")</f>
        <v>https://www.diodes.com/datasheet/download/DMN2005DLP4K.pdf</v>
      </c>
      <c r="C283" t="str">
        <f>Hyperlink("https://www.diodes.com/part/view/DMN2005DLP4K","DMN2005DLP4K")</f>
        <v>DMN2005DLP4K</v>
      </c>
      <c r="D283" t="s">
        <v>631</v>
      </c>
      <c r="E283" t="s">
        <v>27</v>
      </c>
      <c r="F283" t="s">
        <v>28</v>
      </c>
      <c r="G283" t="s">
        <v>40</v>
      </c>
      <c r="H283" t="s">
        <v>27</v>
      </c>
      <c r="I283">
        <v>20</v>
      </c>
      <c r="J283">
        <v>10</v>
      </c>
      <c r="K283">
        <v>0.3</v>
      </c>
      <c r="M283">
        <v>0.4</v>
      </c>
      <c r="P283">
        <v>1500</v>
      </c>
      <c r="Q283">
        <v>1700</v>
      </c>
      <c r="R283">
        <v>3500</v>
      </c>
      <c r="S283">
        <v>0.53</v>
      </c>
      <c r="T283">
        <v>0.9</v>
      </c>
      <c r="W283">
        <v>37</v>
      </c>
      <c r="Y283" t="s">
        <v>898</v>
      </c>
    </row>
    <row r="284" spans="1:25">
      <c r="A284" t="s">
        <v>899</v>
      </c>
      <c r="B284" s="2" t="str">
        <f>Hyperlink("https://www.diodes.com/datasheet/download/DMN2005K.pdf")</f>
        <v>https://www.diodes.com/datasheet/download/DMN2005K.pdf</v>
      </c>
      <c r="C284" t="str">
        <f>Hyperlink("https://www.diodes.com/part/view/DMN2005K","DMN2005K")</f>
        <v>DMN2005K</v>
      </c>
      <c r="D284" t="s">
        <v>631</v>
      </c>
      <c r="E284" t="s">
        <v>27</v>
      </c>
      <c r="F284" t="s">
        <v>28</v>
      </c>
      <c r="G284" t="s">
        <v>29</v>
      </c>
      <c r="H284" t="s">
        <v>27</v>
      </c>
      <c r="I284">
        <v>20</v>
      </c>
      <c r="J284">
        <v>10</v>
      </c>
      <c r="K284">
        <v>0.3</v>
      </c>
      <c r="M284">
        <v>0.35</v>
      </c>
      <c r="Q284">
        <v>1700</v>
      </c>
      <c r="R284">
        <v>3500</v>
      </c>
      <c r="S284">
        <v>0.53</v>
      </c>
      <c r="T284">
        <v>0.9</v>
      </c>
      <c r="W284">
        <v>37</v>
      </c>
      <c r="Y284" t="s">
        <v>35</v>
      </c>
    </row>
    <row r="285" spans="1:25">
      <c r="A285" t="s">
        <v>900</v>
      </c>
      <c r="B285" s="2" t="str">
        <f>Hyperlink("https://www.diodes.com/datasheet/download/DMN2005LP4K.pdf")</f>
        <v>https://www.diodes.com/datasheet/download/DMN2005LP4K.pdf</v>
      </c>
      <c r="C285" t="str">
        <f>Hyperlink("https://www.diodes.com/part/view/DMN2005LP4K","DMN2005LP4K")</f>
        <v>DMN2005LP4K</v>
      </c>
      <c r="D285" t="s">
        <v>631</v>
      </c>
      <c r="E285" t="s">
        <v>27</v>
      </c>
      <c r="F285" t="s">
        <v>28</v>
      </c>
      <c r="G285" t="s">
        <v>29</v>
      </c>
      <c r="H285" t="s">
        <v>27</v>
      </c>
      <c r="I285">
        <v>20</v>
      </c>
      <c r="J285">
        <v>10</v>
      </c>
      <c r="K285">
        <v>0.3</v>
      </c>
      <c r="M285">
        <v>0.4</v>
      </c>
      <c r="P285">
        <v>1500</v>
      </c>
      <c r="Q285">
        <v>1700</v>
      </c>
      <c r="R285">
        <v>3500</v>
      </c>
      <c r="S285">
        <v>0.53</v>
      </c>
      <c r="T285">
        <v>0.9</v>
      </c>
      <c r="W285">
        <v>37</v>
      </c>
      <c r="Y285" t="s">
        <v>901</v>
      </c>
    </row>
    <row r="286" spans="1:25">
      <c r="A286" t="s">
        <v>902</v>
      </c>
      <c r="B286" s="2" t="str">
        <f>Hyperlink("https://www.diodes.com/datasheet/download/DMN2005LPK.pdf")</f>
        <v>https://www.diodes.com/datasheet/download/DMN2005LPK.pdf</v>
      </c>
      <c r="C286" t="str">
        <f>Hyperlink("https://www.diodes.com/part/view/DMN2005LPK","DMN2005LPK")</f>
        <v>DMN2005LPK</v>
      </c>
      <c r="D286" t="s">
        <v>631</v>
      </c>
      <c r="E286" t="s">
        <v>27</v>
      </c>
      <c r="F286" t="s">
        <v>28</v>
      </c>
      <c r="G286" t="s">
        <v>29</v>
      </c>
      <c r="H286" t="s">
        <v>27</v>
      </c>
      <c r="I286">
        <v>20</v>
      </c>
      <c r="J286">
        <v>10</v>
      </c>
      <c r="K286">
        <v>0.44</v>
      </c>
      <c r="M286">
        <v>0.45</v>
      </c>
      <c r="P286">
        <v>1500</v>
      </c>
      <c r="Q286">
        <v>1700</v>
      </c>
      <c r="R286">
        <v>3500</v>
      </c>
      <c r="S286">
        <v>0.53</v>
      </c>
      <c r="T286">
        <v>1.2</v>
      </c>
      <c r="W286">
        <v>37</v>
      </c>
      <c r="Y286" t="s">
        <v>846</v>
      </c>
    </row>
    <row r="287" spans="1:25">
      <c r="A287" t="s">
        <v>903</v>
      </c>
      <c r="B287" s="2" t="str">
        <f>Hyperlink("https://www.diodes.com/datasheet/download/DMN2005UFG.pdf")</f>
        <v>https://www.diodes.com/datasheet/download/DMN2005UFG.pdf</v>
      </c>
      <c r="C287" t="str">
        <f>Hyperlink("https://www.diodes.com/part/view/DMN2005UFG","DMN2005UFG")</f>
        <v>DMN2005UFG</v>
      </c>
      <c r="D287" t="s">
        <v>631</v>
      </c>
      <c r="E287" t="s">
        <v>27</v>
      </c>
      <c r="F287" t="s">
        <v>28</v>
      </c>
      <c r="G287" t="s">
        <v>29</v>
      </c>
      <c r="H287" t="s">
        <v>30</v>
      </c>
      <c r="I287">
        <v>20</v>
      </c>
      <c r="J287">
        <v>12</v>
      </c>
      <c r="K287">
        <v>18</v>
      </c>
      <c r="L287">
        <v>50</v>
      </c>
      <c r="M287">
        <v>2.27</v>
      </c>
      <c r="P287">
        <v>4.6</v>
      </c>
      <c r="Q287">
        <v>8.7</v>
      </c>
      <c r="S287">
        <v>0.4</v>
      </c>
      <c r="T287">
        <v>1.2</v>
      </c>
      <c r="U287">
        <v>68.8</v>
      </c>
      <c r="V287">
        <v>164</v>
      </c>
      <c r="W287">
        <v>6495</v>
      </c>
      <c r="Y287" t="s">
        <v>718</v>
      </c>
    </row>
    <row r="288" spans="1:25">
      <c r="A288" t="s">
        <v>904</v>
      </c>
      <c r="B288" s="2" t="str">
        <f>Hyperlink("https://www.diodes.com/datasheet/download/DMN2005UFGQ.pdf")</f>
        <v>https://www.diodes.com/datasheet/download/DMN2005UFGQ.pdf</v>
      </c>
      <c r="C288" t="str">
        <f>Hyperlink("https://www.diodes.com/part/view/DMN2005UFGQ","DMN2005UFGQ")</f>
        <v>DMN2005UFGQ</v>
      </c>
      <c r="D288" t="s">
        <v>905</v>
      </c>
      <c r="E288" t="s">
        <v>27</v>
      </c>
      <c r="F288" t="s">
        <v>37</v>
      </c>
      <c r="G288" t="s">
        <v>29</v>
      </c>
      <c r="H288" t="s">
        <v>30</v>
      </c>
      <c r="I288">
        <v>20</v>
      </c>
      <c r="J288">
        <v>12</v>
      </c>
      <c r="K288">
        <v>18</v>
      </c>
      <c r="M288">
        <v>2.27</v>
      </c>
      <c r="P288">
        <v>4.6</v>
      </c>
      <c r="Q288">
        <v>8.7</v>
      </c>
      <c r="S288">
        <v>0.4</v>
      </c>
      <c r="T288">
        <v>1.2</v>
      </c>
      <c r="U288">
        <v>68.8</v>
      </c>
      <c r="V288">
        <v>164</v>
      </c>
      <c r="W288">
        <v>6495</v>
      </c>
      <c r="X288">
        <v>10</v>
      </c>
      <c r="Y288" t="s">
        <v>718</v>
      </c>
    </row>
    <row r="289" spans="1:25">
      <c r="A289" t="s">
        <v>906</v>
      </c>
      <c r="B289" s="2" t="str">
        <f>Hyperlink("https://www.diodes.com/datasheet/download/DMN2005UPS.pdf")</f>
        <v>https://www.diodes.com/datasheet/download/DMN2005UPS.pdf</v>
      </c>
      <c r="C289" t="str">
        <f>Hyperlink("https://www.diodes.com/part/view/DMN2005UPS","DMN2005UPS")</f>
        <v>DMN2005UPS</v>
      </c>
      <c r="D289" t="s">
        <v>905</v>
      </c>
      <c r="E289" t="s">
        <v>27</v>
      </c>
      <c r="F289" t="s">
        <v>28</v>
      </c>
      <c r="G289" t="s">
        <v>29</v>
      </c>
      <c r="H289" t="s">
        <v>30</v>
      </c>
      <c r="I289">
        <v>20</v>
      </c>
      <c r="J289">
        <v>12</v>
      </c>
      <c r="K289">
        <v>20</v>
      </c>
      <c r="M289">
        <v>2.5</v>
      </c>
      <c r="P289">
        <v>4.6</v>
      </c>
      <c r="Q289">
        <v>8.7</v>
      </c>
      <c r="T289">
        <v>1.2</v>
      </c>
      <c r="U289">
        <v>60</v>
      </c>
      <c r="V289">
        <v>142</v>
      </c>
      <c r="W289">
        <v>5337</v>
      </c>
      <c r="X289">
        <v>10</v>
      </c>
      <c r="Y289" t="s">
        <v>907</v>
      </c>
    </row>
    <row r="290" spans="1:25">
      <c r="A290" t="s">
        <v>908</v>
      </c>
      <c r="B290" s="2" t="str">
        <f>Hyperlink("https://www.diodes.com/datasheet/download/DMN2008LFU.pdf")</f>
        <v>https://www.diodes.com/datasheet/download/DMN2008LFU.pdf</v>
      </c>
      <c r="C290" t="str">
        <f>Hyperlink("https://www.diodes.com/part/view/DMN2008LFU","DMN2008LFU")</f>
        <v>DMN2008LFU</v>
      </c>
      <c r="D290" t="s">
        <v>39</v>
      </c>
      <c r="E290" t="s">
        <v>30</v>
      </c>
      <c r="F290" t="s">
        <v>28</v>
      </c>
      <c r="G290" t="s">
        <v>40</v>
      </c>
      <c r="H290" t="s">
        <v>27</v>
      </c>
      <c r="I290">
        <v>20</v>
      </c>
      <c r="J290">
        <v>12</v>
      </c>
      <c r="K290">
        <v>14.5</v>
      </c>
      <c r="M290">
        <v>1.7</v>
      </c>
      <c r="P290">
        <v>5.4</v>
      </c>
      <c r="Q290">
        <v>9.6</v>
      </c>
      <c r="S290">
        <v>0.5</v>
      </c>
      <c r="T290">
        <v>1.5</v>
      </c>
      <c r="U290">
        <v>18.7</v>
      </c>
      <c r="V290">
        <v>42.3</v>
      </c>
      <c r="W290">
        <v>1418</v>
      </c>
      <c r="X290">
        <v>10</v>
      </c>
      <c r="Y290" t="s">
        <v>909</v>
      </c>
    </row>
    <row r="291" spans="1:25">
      <c r="A291" t="s">
        <v>910</v>
      </c>
      <c r="B291" s="2" t="str">
        <f>Hyperlink("https://www.diodes.com/datasheet/download/DMN2009LSS.pdf")</f>
        <v>https://www.diodes.com/datasheet/download/DMN2009LSS.pdf</v>
      </c>
      <c r="C291" t="str">
        <f>Hyperlink("https://www.diodes.com/part/view/DMN2009LSS","DMN2009LSS")</f>
        <v>DMN2009LSS</v>
      </c>
      <c r="D291" t="s">
        <v>631</v>
      </c>
      <c r="E291" t="s">
        <v>27</v>
      </c>
      <c r="F291" t="s">
        <v>28</v>
      </c>
      <c r="G291" t="s">
        <v>29</v>
      </c>
      <c r="H291" t="s">
        <v>30</v>
      </c>
      <c r="I291">
        <v>20</v>
      </c>
      <c r="J291">
        <v>12</v>
      </c>
      <c r="K291">
        <v>12</v>
      </c>
      <c r="M291">
        <v>2</v>
      </c>
      <c r="O291">
        <v>8</v>
      </c>
      <c r="P291">
        <v>9</v>
      </c>
      <c r="Q291">
        <v>12</v>
      </c>
      <c r="S291">
        <v>0.5</v>
      </c>
      <c r="T291">
        <v>1.2</v>
      </c>
      <c r="U291">
        <v>28.9</v>
      </c>
      <c r="V291">
        <v>58.3</v>
      </c>
      <c r="W291">
        <v>2555</v>
      </c>
      <c r="Y291" t="s">
        <v>213</v>
      </c>
    </row>
    <row r="292" spans="1:25">
      <c r="A292" t="s">
        <v>911</v>
      </c>
      <c r="B292" s="2" t="str">
        <f>Hyperlink("https://www.diodes.com/datasheet/download/DMN2009UCA4.pdf")</f>
        <v>https://www.diodes.com/datasheet/download/DMN2009UCA4.pdf</v>
      </c>
      <c r="C292" t="str">
        <f>Hyperlink("https://www.diodes.com/part/view/DMN2009UCA4","DMN2009UCA4")</f>
        <v>DMN2009UCA4</v>
      </c>
      <c r="D292" t="s">
        <v>26</v>
      </c>
      <c r="E292" t="s">
        <v>30</v>
      </c>
      <c r="F292" t="s">
        <v>28</v>
      </c>
      <c r="G292" t="s">
        <v>40</v>
      </c>
      <c r="H292" t="s">
        <v>27</v>
      </c>
      <c r="I292">
        <v>20</v>
      </c>
      <c r="J292">
        <v>8</v>
      </c>
      <c r="K292">
        <v>10.3</v>
      </c>
      <c r="M292">
        <v>1.9</v>
      </c>
      <c r="P292">
        <v>11.9</v>
      </c>
      <c r="Q292">
        <v>23</v>
      </c>
      <c r="S292">
        <v>0.35</v>
      </c>
      <c r="T292">
        <v>1.4</v>
      </c>
      <c r="W292">
        <v>1780</v>
      </c>
      <c r="X292">
        <v>10</v>
      </c>
      <c r="Y292" t="s">
        <v>912</v>
      </c>
    </row>
    <row r="293" spans="1:25">
      <c r="A293" t="s">
        <v>913</v>
      </c>
      <c r="B293" s="2" t="str">
        <f>Hyperlink("https://www.diodes.com/datasheet/download/DMN2009UFDF.pdf")</f>
        <v>https://www.diodes.com/datasheet/download/DMN2009UFDF.pdf</v>
      </c>
      <c r="C293" t="str">
        <f>Hyperlink("https://www.diodes.com/part/view/DMN2009UFDF","DMN2009UFDF")</f>
        <v>DMN2009UFDF</v>
      </c>
      <c r="D293" t="s">
        <v>905</v>
      </c>
      <c r="E293" t="s">
        <v>30</v>
      </c>
      <c r="F293" t="s">
        <v>28</v>
      </c>
      <c r="G293" t="s">
        <v>29</v>
      </c>
      <c r="H293" t="s">
        <v>30</v>
      </c>
      <c r="I293">
        <v>20</v>
      </c>
      <c r="J293">
        <v>12</v>
      </c>
      <c r="K293">
        <v>12.8</v>
      </c>
      <c r="M293">
        <v>1.7</v>
      </c>
      <c r="P293">
        <v>9</v>
      </c>
      <c r="Q293">
        <v>13</v>
      </c>
      <c r="S293">
        <v>0.5</v>
      </c>
      <c r="T293">
        <v>1.4</v>
      </c>
      <c r="U293">
        <v>12.7</v>
      </c>
      <c r="V293">
        <v>27.9</v>
      </c>
      <c r="W293">
        <v>1083</v>
      </c>
      <c r="X293">
        <v>10</v>
      </c>
      <c r="Y293" t="s">
        <v>780</v>
      </c>
    </row>
    <row r="294" spans="1:25">
      <c r="A294" t="s">
        <v>914</v>
      </c>
      <c r="B294" s="2" t="str">
        <f>Hyperlink("https://www.diodes.com/datasheet/download/DMN2009USS.pdf")</f>
        <v>https://www.diodes.com/datasheet/download/DMN2009USS.pdf</v>
      </c>
      <c r="C294" t="str">
        <f>Hyperlink("https://www.diodes.com/part/view/DMN2009USS","DMN2009USS")</f>
        <v>DMN2009USS</v>
      </c>
      <c r="D294" t="s">
        <v>905</v>
      </c>
      <c r="E294" t="s">
        <v>30</v>
      </c>
      <c r="F294" t="s">
        <v>28</v>
      </c>
      <c r="G294" t="s">
        <v>29</v>
      </c>
      <c r="H294" t="s">
        <v>30</v>
      </c>
      <c r="I294">
        <v>20</v>
      </c>
      <c r="J294">
        <v>12</v>
      </c>
      <c r="K294">
        <v>12.8</v>
      </c>
      <c r="M294">
        <v>2</v>
      </c>
      <c r="O294">
        <v>8</v>
      </c>
      <c r="P294">
        <v>9</v>
      </c>
      <c r="Q294">
        <v>12</v>
      </c>
      <c r="S294">
        <v>0.5</v>
      </c>
      <c r="T294">
        <v>1.2</v>
      </c>
      <c r="U294">
        <v>16</v>
      </c>
      <c r="V294">
        <v>34</v>
      </c>
      <c r="W294">
        <v>1706</v>
      </c>
      <c r="X294">
        <v>10</v>
      </c>
      <c r="Y294" t="s">
        <v>213</v>
      </c>
    </row>
    <row r="295" spans="1:25">
      <c r="A295" t="s">
        <v>915</v>
      </c>
      <c r="B295" s="2" t="str">
        <f>Hyperlink("https://www.diodes.com/datasheet/download/DMN2011UCA6.pdf")</f>
        <v>https://www.diodes.com/datasheet/download/DMN2011UCA6.pdf</v>
      </c>
      <c r="C295" t="str">
        <f>Hyperlink("https://www.diodes.com/part/view/DMN2011UCA6","DMN2011UCA6")</f>
        <v>DMN2011UCA6</v>
      </c>
      <c r="D295" t="s">
        <v>849</v>
      </c>
      <c r="E295" t="s">
        <v>30</v>
      </c>
      <c r="F295" t="s">
        <v>28</v>
      </c>
      <c r="G295" t="s">
        <v>29</v>
      </c>
      <c r="H295" t="s">
        <v>27</v>
      </c>
      <c r="I295">
        <v>22</v>
      </c>
      <c r="J295">
        <v>12</v>
      </c>
      <c r="K295">
        <v>9</v>
      </c>
      <c r="M295">
        <v>2.1</v>
      </c>
      <c r="P295">
        <v>6.5</v>
      </c>
      <c r="Q295">
        <v>12</v>
      </c>
      <c r="S295">
        <v>0.4</v>
      </c>
      <c r="T295">
        <v>1.3</v>
      </c>
      <c r="U295">
        <v>20</v>
      </c>
      <c r="W295">
        <v>1580</v>
      </c>
      <c r="X295">
        <v>12</v>
      </c>
      <c r="Y295" t="s">
        <v>916</v>
      </c>
    </row>
    <row r="296" spans="1:25">
      <c r="A296" t="s">
        <v>917</v>
      </c>
      <c r="B296" s="2" t="str">
        <f>Hyperlink("https://www.diodes.com/datasheet/download/DMN2011UFDE.pdf")</f>
        <v>https://www.diodes.com/datasheet/download/DMN2011UFDE.pdf</v>
      </c>
      <c r="C296" t="str">
        <f>Hyperlink("https://www.diodes.com/part/view/DMN2011UFDE","DMN2011UFDE")</f>
        <v>DMN2011UFDE</v>
      </c>
      <c r="D296" t="s">
        <v>631</v>
      </c>
      <c r="E296" t="s">
        <v>27</v>
      </c>
      <c r="F296" t="s">
        <v>28</v>
      </c>
      <c r="G296" t="s">
        <v>29</v>
      </c>
      <c r="H296" t="s">
        <v>27</v>
      </c>
      <c r="I296">
        <v>20</v>
      </c>
      <c r="J296">
        <v>12</v>
      </c>
      <c r="K296">
        <v>11.7</v>
      </c>
      <c r="M296">
        <v>1.97</v>
      </c>
      <c r="P296">
        <v>9.5</v>
      </c>
      <c r="Q296">
        <v>11</v>
      </c>
      <c r="R296">
        <v>20</v>
      </c>
      <c r="S296">
        <v>0.4</v>
      </c>
      <c r="T296">
        <v>1</v>
      </c>
      <c r="U296">
        <v>24</v>
      </c>
      <c r="V296">
        <v>56</v>
      </c>
      <c r="W296">
        <v>2248</v>
      </c>
      <c r="Y296" t="s">
        <v>778</v>
      </c>
    </row>
    <row r="297" spans="1:25">
      <c r="A297" t="s">
        <v>918</v>
      </c>
      <c r="B297" s="2" t="str">
        <f>Hyperlink("https://www.diodes.com/datasheet/download/DMN2011UFDF.pdf")</f>
        <v>https://www.diodes.com/datasheet/download/DMN2011UFDF.pdf</v>
      </c>
      <c r="C297" t="str">
        <f>Hyperlink("https://www.diodes.com/part/view/DMN2011UFDF","DMN2011UFDF")</f>
        <v>DMN2011UFDF</v>
      </c>
      <c r="D297" t="s">
        <v>905</v>
      </c>
      <c r="E297" t="s">
        <v>27</v>
      </c>
      <c r="F297" t="s">
        <v>28</v>
      </c>
      <c r="G297" t="s">
        <v>29</v>
      </c>
      <c r="H297" t="s">
        <v>27</v>
      </c>
      <c r="I297">
        <v>20</v>
      </c>
      <c r="J297">
        <v>12</v>
      </c>
      <c r="K297">
        <v>11.7</v>
      </c>
      <c r="M297">
        <v>2.1</v>
      </c>
      <c r="P297">
        <v>9.5</v>
      </c>
      <c r="Q297">
        <v>11</v>
      </c>
      <c r="R297">
        <v>20</v>
      </c>
      <c r="S297">
        <v>0.4</v>
      </c>
      <c r="T297">
        <v>1</v>
      </c>
      <c r="U297">
        <v>24</v>
      </c>
      <c r="V297">
        <v>56</v>
      </c>
      <c r="W297">
        <v>2248</v>
      </c>
      <c r="X297">
        <v>10</v>
      </c>
      <c r="Y297" t="s">
        <v>780</v>
      </c>
    </row>
    <row r="298" spans="1:25">
      <c r="A298" t="s">
        <v>919</v>
      </c>
      <c r="B298" s="2" t="str">
        <f>Hyperlink("https://www.diodes.com/datasheet/download/DMN2011UFX.pdf")</f>
        <v>https://www.diodes.com/datasheet/download/DMN2011UFX.pdf</v>
      </c>
      <c r="C298" t="str">
        <f>Hyperlink("https://www.diodes.com/part/view/DMN2011UFX","DMN2011UFX")</f>
        <v>DMN2011UFX</v>
      </c>
      <c r="D298" t="s">
        <v>631</v>
      </c>
      <c r="E298" t="s">
        <v>27</v>
      </c>
      <c r="F298" t="s">
        <v>28</v>
      </c>
      <c r="G298" t="s">
        <v>40</v>
      </c>
      <c r="H298" t="s">
        <v>27</v>
      </c>
      <c r="I298">
        <v>20</v>
      </c>
      <c r="J298">
        <v>12</v>
      </c>
      <c r="K298">
        <v>12.2</v>
      </c>
      <c r="M298">
        <v>2.1</v>
      </c>
      <c r="P298">
        <v>9.5</v>
      </c>
      <c r="Q298">
        <v>13</v>
      </c>
      <c r="S298">
        <v>0.3</v>
      </c>
      <c r="T298">
        <v>1</v>
      </c>
      <c r="U298">
        <v>24</v>
      </c>
      <c r="V298">
        <v>56</v>
      </c>
      <c r="W298">
        <v>2248</v>
      </c>
      <c r="Y298" t="s">
        <v>920</v>
      </c>
    </row>
    <row r="299" spans="1:25">
      <c r="A299" t="s">
        <v>921</v>
      </c>
      <c r="B299" s="2" t="str">
        <f>Hyperlink("https://www.diodes.com/datasheet/download/DMN2011UTS.pdf")</f>
        <v>https://www.diodes.com/datasheet/download/DMN2011UTS.pdf</v>
      </c>
      <c r="C299" t="str">
        <f>Hyperlink("https://www.diodes.com/part/view/DMN2011UTS","DMN2011UTS")</f>
        <v>DMN2011UTS</v>
      </c>
      <c r="D299" t="s">
        <v>26</v>
      </c>
      <c r="E299" t="s">
        <v>27</v>
      </c>
      <c r="F299" t="s">
        <v>28</v>
      </c>
      <c r="G299" t="s">
        <v>29</v>
      </c>
      <c r="H299" t="s">
        <v>27</v>
      </c>
      <c r="I299">
        <v>20</v>
      </c>
      <c r="J299">
        <v>12</v>
      </c>
      <c r="K299">
        <v>9</v>
      </c>
      <c r="M299">
        <v>1.3</v>
      </c>
      <c r="P299">
        <v>11</v>
      </c>
      <c r="Q299">
        <v>13</v>
      </c>
      <c r="R299">
        <v>25</v>
      </c>
      <c r="S299">
        <v>0.4</v>
      </c>
      <c r="T299">
        <v>1</v>
      </c>
      <c r="U299">
        <v>24</v>
      </c>
      <c r="V299">
        <v>56</v>
      </c>
      <c r="W299">
        <v>2248</v>
      </c>
      <c r="X299">
        <v>10</v>
      </c>
      <c r="Y299" t="s">
        <v>716</v>
      </c>
    </row>
    <row r="300" spans="1:25">
      <c r="A300" t="s">
        <v>922</v>
      </c>
      <c r="B300" s="2" t="str">
        <f>Hyperlink("https://www.diodes.com/datasheet/download/DMN2012UCA6.pdf")</f>
        <v>https://www.diodes.com/datasheet/download/DMN2012UCA6.pdf</v>
      </c>
      <c r="C300" t="str">
        <f>Hyperlink("https://www.diodes.com/part/view/DMN2012UCA6","DMN2012UCA6")</f>
        <v>DMN2012UCA6</v>
      </c>
      <c r="D300" t="s">
        <v>26</v>
      </c>
      <c r="E300" t="s">
        <v>30</v>
      </c>
      <c r="F300" t="s">
        <v>28</v>
      </c>
      <c r="G300" t="s">
        <v>40</v>
      </c>
      <c r="H300" t="s">
        <v>27</v>
      </c>
      <c r="I300">
        <v>24</v>
      </c>
      <c r="J300">
        <v>12</v>
      </c>
      <c r="K300">
        <v>13</v>
      </c>
      <c r="M300">
        <v>2.3</v>
      </c>
      <c r="P300">
        <v>9</v>
      </c>
      <c r="Q300">
        <v>13</v>
      </c>
      <c r="S300">
        <v>0.5</v>
      </c>
      <c r="T300">
        <v>1.3</v>
      </c>
      <c r="W300">
        <v>2417</v>
      </c>
      <c r="X300">
        <v>10</v>
      </c>
      <c r="Y300" t="s">
        <v>786</v>
      </c>
    </row>
    <row r="301" spans="1:25">
      <c r="A301" t="s">
        <v>923</v>
      </c>
      <c r="B301" s="2" t="str">
        <f>Hyperlink("https://www.diodes.com/datasheet/download/DMN2013UFDE.pdf")</f>
        <v>https://www.diodes.com/datasheet/download/DMN2013UFDE.pdf</v>
      </c>
      <c r="C301" t="str">
        <f>Hyperlink("https://www.diodes.com/part/view/DMN2013UFDE","DMN2013UFDE")</f>
        <v>DMN2013UFDE</v>
      </c>
      <c r="D301" t="s">
        <v>631</v>
      </c>
      <c r="E301" t="s">
        <v>27</v>
      </c>
      <c r="F301" t="s">
        <v>28</v>
      </c>
      <c r="G301" t="s">
        <v>29</v>
      </c>
      <c r="H301" t="s">
        <v>27</v>
      </c>
      <c r="I301">
        <v>20</v>
      </c>
      <c r="J301">
        <v>8</v>
      </c>
      <c r="K301">
        <v>10.5</v>
      </c>
      <c r="M301">
        <v>2.03</v>
      </c>
      <c r="P301">
        <v>11</v>
      </c>
      <c r="Q301">
        <v>13</v>
      </c>
      <c r="R301">
        <v>30</v>
      </c>
      <c r="S301">
        <v>0.5</v>
      </c>
      <c r="T301">
        <v>1.1</v>
      </c>
      <c r="U301">
        <v>14.3</v>
      </c>
      <c r="V301" t="s">
        <v>924</v>
      </c>
      <c r="W301">
        <v>2453</v>
      </c>
      <c r="Y301" t="s">
        <v>778</v>
      </c>
    </row>
    <row r="302" spans="1:25">
      <c r="A302" t="s">
        <v>925</v>
      </c>
      <c r="B302" s="2" t="str">
        <f>Hyperlink("https://www.diodes.com/datasheet/download/DMN2013UFDEQ.pdf")</f>
        <v>https://www.diodes.com/datasheet/download/DMN2013UFDEQ.pdf</v>
      </c>
      <c r="C302" t="str">
        <f>Hyperlink("https://www.diodes.com/part/view/DMN2013UFDEQ","DMN2013UFDEQ")</f>
        <v>DMN2013UFDEQ</v>
      </c>
      <c r="D302" t="s">
        <v>905</v>
      </c>
      <c r="E302" t="s">
        <v>27</v>
      </c>
      <c r="F302" t="s">
        <v>37</v>
      </c>
      <c r="G302" t="s">
        <v>29</v>
      </c>
      <c r="H302" t="s">
        <v>27</v>
      </c>
      <c r="I302">
        <v>20</v>
      </c>
      <c r="J302">
        <v>8</v>
      </c>
      <c r="K302">
        <v>10.5</v>
      </c>
      <c r="M302">
        <v>1.31</v>
      </c>
      <c r="P302">
        <v>11</v>
      </c>
      <c r="Q302">
        <v>13</v>
      </c>
      <c r="R302">
        <v>30</v>
      </c>
      <c r="S302">
        <v>0.5</v>
      </c>
      <c r="T302">
        <v>1.1</v>
      </c>
      <c r="U302">
        <v>14.3</v>
      </c>
      <c r="W302">
        <v>2453</v>
      </c>
      <c r="X302">
        <v>10</v>
      </c>
      <c r="Y302" t="s">
        <v>778</v>
      </c>
    </row>
    <row r="303" spans="1:25">
      <c r="A303" t="s">
        <v>926</v>
      </c>
      <c r="B303" s="2" t="str">
        <f>Hyperlink("https://www.diodes.com/datasheet/download/DMN2013UFX.pdf")</f>
        <v>https://www.diodes.com/datasheet/download/DMN2013UFX.pdf</v>
      </c>
      <c r="C303" t="str">
        <f>Hyperlink("https://www.diodes.com/part/view/DMN2013UFX","DMN2013UFX")</f>
        <v>DMN2013UFX</v>
      </c>
      <c r="D303" t="s">
        <v>631</v>
      </c>
      <c r="E303" t="s">
        <v>27</v>
      </c>
      <c r="F303" t="s">
        <v>28</v>
      </c>
      <c r="G303" t="s">
        <v>40</v>
      </c>
      <c r="H303" t="s">
        <v>27</v>
      </c>
      <c r="I303">
        <v>20</v>
      </c>
      <c r="J303">
        <v>8</v>
      </c>
      <c r="K303">
        <v>10</v>
      </c>
      <c r="M303">
        <v>2.14</v>
      </c>
      <c r="P303">
        <v>11.5</v>
      </c>
      <c r="Q303">
        <v>14</v>
      </c>
      <c r="S303">
        <v>0.5</v>
      </c>
      <c r="T303">
        <v>1.1</v>
      </c>
      <c r="U303">
        <v>32.4</v>
      </c>
      <c r="V303" t="s">
        <v>927</v>
      </c>
      <c r="W303">
        <v>2607</v>
      </c>
      <c r="Y303" t="s">
        <v>699</v>
      </c>
    </row>
    <row r="304" spans="1:25">
      <c r="A304" t="s">
        <v>928</v>
      </c>
      <c r="B304" s="2" t="str">
        <f>Hyperlink("https://www.diodes.com/datasheet/download/DMN2014LHAB.pdf")</f>
        <v>https://www.diodes.com/datasheet/download/DMN2014LHAB.pdf</v>
      </c>
      <c r="C304" t="str">
        <f>Hyperlink("https://www.diodes.com/part/view/DMN2014LHAB","DMN2014LHAB")</f>
        <v>DMN2014LHAB</v>
      </c>
      <c r="D304" t="s">
        <v>631</v>
      </c>
      <c r="E304" t="s">
        <v>27</v>
      </c>
      <c r="F304" t="s">
        <v>28</v>
      </c>
      <c r="G304" t="s">
        <v>40</v>
      </c>
      <c r="H304" t="s">
        <v>27</v>
      </c>
      <c r="I304">
        <v>20</v>
      </c>
      <c r="J304">
        <v>12</v>
      </c>
      <c r="K304">
        <v>9</v>
      </c>
      <c r="M304">
        <v>1.7</v>
      </c>
      <c r="P304">
        <v>13</v>
      </c>
      <c r="Q304">
        <v>18</v>
      </c>
      <c r="R304">
        <v>28</v>
      </c>
      <c r="S304">
        <v>0.3</v>
      </c>
      <c r="T304">
        <v>1.1</v>
      </c>
      <c r="U304">
        <v>16</v>
      </c>
      <c r="V304">
        <v>37</v>
      </c>
      <c r="W304">
        <v>1550</v>
      </c>
      <c r="Y304" t="s">
        <v>909</v>
      </c>
    </row>
    <row r="305" spans="1:25">
      <c r="A305" t="s">
        <v>929</v>
      </c>
      <c r="B305" s="2" t="str">
        <f>Hyperlink("https://www.diodes.com/datasheet/download/DMN2015UFDE.pdf")</f>
        <v>https://www.diodes.com/datasheet/download/DMN2015UFDE.pdf</v>
      </c>
      <c r="C305" t="str">
        <f>Hyperlink("https://www.diodes.com/part/view/DMN2015UFDE","DMN2015UFDE")</f>
        <v>DMN2015UFDE</v>
      </c>
      <c r="D305" t="s">
        <v>631</v>
      </c>
      <c r="E305" t="s">
        <v>27</v>
      </c>
      <c r="F305" t="s">
        <v>28</v>
      </c>
      <c r="G305" t="s">
        <v>29</v>
      </c>
      <c r="H305" t="s">
        <v>27</v>
      </c>
      <c r="I305">
        <v>20</v>
      </c>
      <c r="J305">
        <v>12</v>
      </c>
      <c r="K305">
        <v>10.5</v>
      </c>
      <c r="M305">
        <v>2.03</v>
      </c>
      <c r="P305">
        <v>11.6</v>
      </c>
      <c r="Q305">
        <v>15</v>
      </c>
      <c r="R305">
        <v>30</v>
      </c>
      <c r="S305">
        <v>0.5</v>
      </c>
      <c r="T305">
        <v>1.1</v>
      </c>
      <c r="U305">
        <v>19.7</v>
      </c>
      <c r="V305">
        <v>45.6</v>
      </c>
      <c r="W305">
        <v>1779</v>
      </c>
      <c r="Y305" t="s">
        <v>778</v>
      </c>
    </row>
    <row r="306" spans="1:25">
      <c r="A306" t="s">
        <v>930</v>
      </c>
      <c r="B306" s="2" t="str">
        <f>Hyperlink("https://www.diodes.com/datasheet/download/DMN2015UFDF.pdf")</f>
        <v>https://www.diodes.com/datasheet/download/DMN2015UFDF.pdf</v>
      </c>
      <c r="C306" t="str">
        <f>Hyperlink("https://www.diodes.com/part/view/DMN2015UFDF","DMN2015UFDF")</f>
        <v>DMN2015UFDF</v>
      </c>
      <c r="D306" t="s">
        <v>905</v>
      </c>
      <c r="E306" t="s">
        <v>27</v>
      </c>
      <c r="F306" t="s">
        <v>28</v>
      </c>
      <c r="G306" t="s">
        <v>29</v>
      </c>
      <c r="H306" t="s">
        <v>30</v>
      </c>
      <c r="I306">
        <v>20</v>
      </c>
      <c r="J306">
        <v>12</v>
      </c>
      <c r="K306">
        <v>11.6</v>
      </c>
      <c r="M306">
        <v>1.8</v>
      </c>
      <c r="P306">
        <v>9</v>
      </c>
      <c r="Q306">
        <v>15</v>
      </c>
      <c r="R306">
        <v>30</v>
      </c>
      <c r="S306">
        <v>0.4</v>
      </c>
      <c r="T306">
        <v>1.2</v>
      </c>
      <c r="U306">
        <v>19.3</v>
      </c>
      <c r="V306">
        <v>42.3</v>
      </c>
      <c r="W306">
        <v>1439</v>
      </c>
      <c r="X306">
        <v>10</v>
      </c>
      <c r="Y306" t="s">
        <v>780</v>
      </c>
    </row>
    <row r="307" spans="1:25">
      <c r="A307" t="s">
        <v>931</v>
      </c>
      <c r="B307" s="2" t="str">
        <f>Hyperlink("https://www.diodes.com/datasheet/download/DMN2016LFG.pdf")</f>
        <v>https://www.diodes.com/datasheet/download/DMN2016LFG.pdf</v>
      </c>
      <c r="C307" t="str">
        <f>Hyperlink("https://www.diodes.com/part/view/DMN2016LFG","DMN2016LFG")</f>
        <v>DMN2016LFG</v>
      </c>
      <c r="D307" t="s">
        <v>631</v>
      </c>
      <c r="E307" t="s">
        <v>27</v>
      </c>
      <c r="F307" t="s">
        <v>28</v>
      </c>
      <c r="G307" t="s">
        <v>40</v>
      </c>
      <c r="H307" t="s">
        <v>27</v>
      </c>
      <c r="I307">
        <v>20</v>
      </c>
      <c r="J307">
        <v>8</v>
      </c>
      <c r="K307">
        <v>5.2</v>
      </c>
      <c r="M307">
        <v>0.77</v>
      </c>
      <c r="P307">
        <v>18</v>
      </c>
      <c r="Q307">
        <v>22</v>
      </c>
      <c r="R307">
        <v>30</v>
      </c>
      <c r="S307">
        <v>0.4</v>
      </c>
      <c r="T307">
        <v>1.1</v>
      </c>
      <c r="U307">
        <v>16</v>
      </c>
      <c r="V307">
        <v>37</v>
      </c>
      <c r="W307">
        <v>1472</v>
      </c>
      <c r="Y307" t="s">
        <v>679</v>
      </c>
    </row>
    <row r="308" spans="1:25">
      <c r="A308" t="s">
        <v>932</v>
      </c>
      <c r="B308" s="2" t="str">
        <f>Hyperlink("https://www.diodes.com/datasheet/download/DMN2016LHAB.pdf")</f>
        <v>https://www.diodes.com/datasheet/download/DMN2016LHAB.pdf</v>
      </c>
      <c r="C308" t="str">
        <f>Hyperlink("https://www.diodes.com/part/view/DMN2016LHAB","DMN2016LHAB")</f>
        <v>DMN2016LHAB</v>
      </c>
      <c r="D308" t="s">
        <v>631</v>
      </c>
      <c r="E308" t="s">
        <v>27</v>
      </c>
      <c r="F308" t="s">
        <v>28</v>
      </c>
      <c r="G308" t="s">
        <v>40</v>
      </c>
      <c r="H308" t="s">
        <v>27</v>
      </c>
      <c r="I308">
        <v>20</v>
      </c>
      <c r="J308">
        <v>12</v>
      </c>
      <c r="K308">
        <v>7.5</v>
      </c>
      <c r="M308">
        <v>1.65</v>
      </c>
      <c r="P308">
        <v>15.5</v>
      </c>
      <c r="Q308">
        <v>20</v>
      </c>
      <c r="R308">
        <v>30</v>
      </c>
      <c r="S308">
        <v>0.5</v>
      </c>
      <c r="T308">
        <v>1.1</v>
      </c>
      <c r="U308">
        <v>16</v>
      </c>
      <c r="V308">
        <v>37</v>
      </c>
      <c r="W308">
        <v>1550</v>
      </c>
      <c r="Y308" t="s">
        <v>909</v>
      </c>
    </row>
    <row r="309" spans="1:25">
      <c r="A309" t="s">
        <v>933</v>
      </c>
      <c r="B309" s="2" t="str">
        <f>Hyperlink("https://www.diodes.com/datasheet/download/DMN2016UFX.pdf")</f>
        <v>https://www.diodes.com/datasheet/download/DMN2016UFX.pdf</v>
      </c>
      <c r="C309" t="str">
        <f>Hyperlink("https://www.diodes.com/part/view/DMN2016UFX","DMN2016UFX")</f>
        <v>DMN2016UFX</v>
      </c>
      <c r="D309" t="s">
        <v>39</v>
      </c>
      <c r="E309" t="s">
        <v>30</v>
      </c>
      <c r="F309" t="s">
        <v>28</v>
      </c>
      <c r="G309" t="s">
        <v>40</v>
      </c>
      <c r="H309" t="s">
        <v>27</v>
      </c>
      <c r="I309">
        <v>24</v>
      </c>
      <c r="J309">
        <v>12</v>
      </c>
      <c r="K309">
        <v>9.9</v>
      </c>
      <c r="M309">
        <v>2.23</v>
      </c>
      <c r="P309">
        <v>15</v>
      </c>
      <c r="Q309">
        <v>20</v>
      </c>
      <c r="S309">
        <v>0.4</v>
      </c>
      <c r="T309">
        <v>1.5</v>
      </c>
      <c r="U309">
        <v>14</v>
      </c>
      <c r="W309">
        <v>950</v>
      </c>
      <c r="X309">
        <v>10</v>
      </c>
      <c r="Y309" t="s">
        <v>920</v>
      </c>
    </row>
    <row r="310" spans="1:25">
      <c r="A310" t="s">
        <v>934</v>
      </c>
      <c r="B310" s="2" t="str">
        <f>Hyperlink("https://www.diodes.com/datasheet/download/DMN2016UTS.pdf")</f>
        <v>https://www.diodes.com/datasheet/download/DMN2016UTS.pdf</v>
      </c>
      <c r="C310" t="str">
        <f>Hyperlink("https://www.diodes.com/part/view/DMN2016UTS","DMN2016UTS")</f>
        <v>DMN2016UTS</v>
      </c>
      <c r="D310" t="s">
        <v>631</v>
      </c>
      <c r="E310" t="s">
        <v>27</v>
      </c>
      <c r="F310" t="s">
        <v>28</v>
      </c>
      <c r="G310" t="s">
        <v>40</v>
      </c>
      <c r="H310" t="s">
        <v>27</v>
      </c>
      <c r="I310">
        <v>20</v>
      </c>
      <c r="J310">
        <v>8</v>
      </c>
      <c r="K310">
        <v>8.58</v>
      </c>
      <c r="M310">
        <v>0.88</v>
      </c>
      <c r="P310">
        <v>14.5</v>
      </c>
      <c r="Q310">
        <v>16.5</v>
      </c>
      <c r="S310">
        <v>0.4</v>
      </c>
      <c r="T310">
        <v>1</v>
      </c>
      <c r="U310">
        <v>16.5</v>
      </c>
      <c r="W310">
        <v>1495</v>
      </c>
      <c r="Y310" t="s">
        <v>716</v>
      </c>
    </row>
    <row r="311" spans="1:25">
      <c r="A311" t="s">
        <v>935</v>
      </c>
      <c r="B311" s="2" t="str">
        <f>Hyperlink("https://www.diodes.com/datasheet/download/DMN2019UTS.pdf")</f>
        <v>https://www.diodes.com/datasheet/download/DMN2019UTS.pdf</v>
      </c>
      <c r="C311" t="str">
        <f>Hyperlink("https://www.diodes.com/part/view/DMN2019UTS","DMN2019UTS")</f>
        <v>DMN2019UTS</v>
      </c>
      <c r="D311" t="s">
        <v>631</v>
      </c>
      <c r="E311" t="s">
        <v>27</v>
      </c>
      <c r="F311" t="s">
        <v>28</v>
      </c>
      <c r="G311" t="s">
        <v>40</v>
      </c>
      <c r="H311" t="s">
        <v>27</v>
      </c>
      <c r="I311">
        <v>20</v>
      </c>
      <c r="J311">
        <v>12</v>
      </c>
      <c r="K311">
        <v>5.4</v>
      </c>
      <c r="M311">
        <v>0.78</v>
      </c>
      <c r="O311">
        <v>18.5</v>
      </c>
      <c r="P311">
        <v>21</v>
      </c>
      <c r="Q311">
        <v>24</v>
      </c>
      <c r="R311">
        <v>31</v>
      </c>
      <c r="S311">
        <v>0.35</v>
      </c>
      <c r="T311">
        <v>0.95</v>
      </c>
      <c r="U311">
        <v>8.8</v>
      </c>
      <c r="W311">
        <v>143</v>
      </c>
      <c r="Y311" t="s">
        <v>716</v>
      </c>
    </row>
    <row r="312" spans="1:25">
      <c r="A312" t="s">
        <v>936</v>
      </c>
      <c r="B312" s="2" t="str">
        <f>Hyperlink("https://www.diodes.com/datasheet/download/DMN2020LSN.pdf")</f>
        <v>https://www.diodes.com/datasheet/download/DMN2020LSN.pdf</v>
      </c>
      <c r="C312" t="str">
        <f>Hyperlink("https://www.diodes.com/part/view/DMN2020LSN","DMN2020LSN")</f>
        <v>DMN2020LSN</v>
      </c>
      <c r="D312" t="s">
        <v>631</v>
      </c>
      <c r="E312" t="s">
        <v>27</v>
      </c>
      <c r="F312" t="s">
        <v>28</v>
      </c>
      <c r="G312" t="s">
        <v>29</v>
      </c>
      <c r="H312" t="s">
        <v>27</v>
      </c>
      <c r="I312">
        <v>20</v>
      </c>
      <c r="J312">
        <v>12</v>
      </c>
      <c r="K312">
        <v>6.9</v>
      </c>
      <c r="M312">
        <v>0.61</v>
      </c>
      <c r="P312">
        <v>20</v>
      </c>
      <c r="Q312">
        <v>28</v>
      </c>
      <c r="S312">
        <v>0.5</v>
      </c>
      <c r="T312">
        <v>1.5</v>
      </c>
      <c r="U312">
        <v>11.6</v>
      </c>
      <c r="W312">
        <v>1149</v>
      </c>
      <c r="Y312" t="s">
        <v>98</v>
      </c>
    </row>
    <row r="313" spans="1:25">
      <c r="A313" t="s">
        <v>937</v>
      </c>
      <c r="B313" s="2" t="str">
        <f>Hyperlink("https://www.diodes.com/datasheet/download/DMN2020UFCL.pdf")</f>
        <v>https://www.diodes.com/datasheet/download/DMN2020UFCL.pdf</v>
      </c>
      <c r="C313" t="str">
        <f>Hyperlink("https://www.diodes.com/part/view/DMN2020UFCL","DMN2020UFCL")</f>
        <v>DMN2020UFCL</v>
      </c>
      <c r="D313" t="s">
        <v>631</v>
      </c>
      <c r="E313" t="s">
        <v>27</v>
      </c>
      <c r="F313" t="s">
        <v>28</v>
      </c>
      <c r="G313" t="s">
        <v>29</v>
      </c>
      <c r="H313" t="s">
        <v>27</v>
      </c>
      <c r="I313">
        <v>20</v>
      </c>
      <c r="J313">
        <v>10</v>
      </c>
      <c r="K313">
        <v>9</v>
      </c>
      <c r="M313">
        <v>0.61</v>
      </c>
      <c r="P313">
        <v>14</v>
      </c>
      <c r="Q313">
        <v>20</v>
      </c>
      <c r="R313">
        <v>26</v>
      </c>
      <c r="S313">
        <v>0.4</v>
      </c>
      <c r="T313">
        <v>0.9</v>
      </c>
      <c r="U313">
        <v>21.5</v>
      </c>
      <c r="V313">
        <v>49</v>
      </c>
      <c r="W313">
        <v>1788</v>
      </c>
      <c r="Y313" t="s">
        <v>938</v>
      </c>
    </row>
    <row r="314" spans="1:25">
      <c r="A314" t="s">
        <v>939</v>
      </c>
      <c r="B314" s="2" t="str">
        <f>Hyperlink("https://www.diodes.com/datasheet/download/DMN2022UCA4.pdf")</f>
        <v>https://www.diodes.com/datasheet/download/DMN2022UCA4.pdf</v>
      </c>
      <c r="C314" t="str">
        <f>Hyperlink("https://www.diodes.com/part/view/DMN2022UCA4","DMN2022UCA4")</f>
        <v>DMN2022UCA4</v>
      </c>
      <c r="D314" t="s">
        <v>26</v>
      </c>
      <c r="E314" t="s">
        <v>30</v>
      </c>
      <c r="F314" t="s">
        <v>28</v>
      </c>
      <c r="G314" t="s">
        <v>29</v>
      </c>
      <c r="H314" t="s">
        <v>27</v>
      </c>
      <c r="I314">
        <v>24</v>
      </c>
      <c r="J314">
        <v>12</v>
      </c>
      <c r="K314">
        <v>7.8</v>
      </c>
      <c r="M314">
        <v>2</v>
      </c>
      <c r="P314">
        <v>22</v>
      </c>
      <c r="Q314">
        <v>37</v>
      </c>
      <c r="S314">
        <v>0.4</v>
      </c>
      <c r="T314">
        <v>1.4</v>
      </c>
      <c r="U314">
        <v>12.5</v>
      </c>
      <c r="W314">
        <v>1438</v>
      </c>
      <c r="X314">
        <v>10</v>
      </c>
      <c r="Y314" t="s">
        <v>912</v>
      </c>
    </row>
    <row r="315" spans="1:25">
      <c r="A315" t="s">
        <v>940</v>
      </c>
      <c r="B315" s="2" t="str">
        <f>Hyperlink("https://www.diodes.com/datasheet/download/DMN2022UFDF.pdf")</f>
        <v>https://www.diodes.com/datasheet/download/DMN2022UFDF.pdf</v>
      </c>
      <c r="C315" t="str">
        <f>Hyperlink("https://www.diodes.com/part/view/DMN2022UFDF","DMN2022UFDF")</f>
        <v>DMN2022UFDF</v>
      </c>
      <c r="D315" t="s">
        <v>631</v>
      </c>
      <c r="E315" t="s">
        <v>27</v>
      </c>
      <c r="F315" t="s">
        <v>28</v>
      </c>
      <c r="G315" t="s">
        <v>29</v>
      </c>
      <c r="H315" t="s">
        <v>27</v>
      </c>
      <c r="I315">
        <v>20</v>
      </c>
      <c r="J315">
        <v>8</v>
      </c>
      <c r="K315">
        <v>7.9</v>
      </c>
      <c r="M315">
        <v>2.03</v>
      </c>
      <c r="P315">
        <v>22</v>
      </c>
      <c r="Q315">
        <v>26</v>
      </c>
      <c r="R315">
        <v>36</v>
      </c>
      <c r="S315">
        <v>0.5</v>
      </c>
      <c r="T315">
        <v>1</v>
      </c>
      <c r="U315">
        <v>9.8</v>
      </c>
      <c r="V315" t="s">
        <v>941</v>
      </c>
      <c r="W315">
        <v>907</v>
      </c>
      <c r="Y315" t="s">
        <v>780</v>
      </c>
    </row>
    <row r="316" spans="1:25">
      <c r="A316" t="s">
        <v>942</v>
      </c>
      <c r="B316" s="2" t="str">
        <f>Hyperlink("https://www.diodes.com/datasheet/download/DMN2022UNS.pdf")</f>
        <v>https://www.diodes.com/datasheet/download/DMN2022UNS.pdf</v>
      </c>
      <c r="C316" t="str">
        <f>Hyperlink("https://www.diodes.com/part/view/DMN2022UNS","DMN2022UNS")</f>
        <v>DMN2022UNS</v>
      </c>
      <c r="D316" t="s">
        <v>39</v>
      </c>
      <c r="E316" t="s">
        <v>30</v>
      </c>
      <c r="F316" t="s">
        <v>28</v>
      </c>
      <c r="G316" t="s">
        <v>40</v>
      </c>
      <c r="H316" t="s">
        <v>27</v>
      </c>
      <c r="I316">
        <v>20</v>
      </c>
      <c r="J316">
        <v>10</v>
      </c>
      <c r="K316">
        <v>10.7</v>
      </c>
      <c r="M316">
        <v>1.9</v>
      </c>
      <c r="P316">
        <v>10.8</v>
      </c>
      <c r="Q316">
        <v>14.5</v>
      </c>
      <c r="R316">
        <v>17</v>
      </c>
      <c r="T316">
        <v>1</v>
      </c>
      <c r="U316">
        <v>20.3</v>
      </c>
      <c r="W316">
        <v>1870</v>
      </c>
      <c r="Y316" t="s">
        <v>386</v>
      </c>
    </row>
    <row r="317" spans="1:25">
      <c r="A317" t="s">
        <v>943</v>
      </c>
      <c r="B317" s="2" t="str">
        <f>Hyperlink("https://www.diodes.com/datasheet/download/DMN2023UCB4.pdf")</f>
        <v>https://www.diodes.com/datasheet/download/DMN2023UCB4.pdf</v>
      </c>
      <c r="C317" t="str">
        <f>Hyperlink("https://www.diodes.com/part/view/DMN2023UCB4","DMN2023UCB4")</f>
        <v>DMN2023UCB4</v>
      </c>
      <c r="D317" t="s">
        <v>631</v>
      </c>
      <c r="E317" t="s">
        <v>27</v>
      </c>
      <c r="F317" t="s">
        <v>28</v>
      </c>
      <c r="G317" t="s">
        <v>40</v>
      </c>
      <c r="H317" t="s">
        <v>27</v>
      </c>
      <c r="I317">
        <v>24</v>
      </c>
      <c r="J317">
        <v>12</v>
      </c>
      <c r="K317">
        <v>6</v>
      </c>
      <c r="M317">
        <v>1.45</v>
      </c>
      <c r="P317">
        <v>26</v>
      </c>
      <c r="Q317">
        <v>40</v>
      </c>
      <c r="S317">
        <v>0.5</v>
      </c>
      <c r="T317">
        <v>1.3</v>
      </c>
      <c r="U317">
        <v>29</v>
      </c>
      <c r="W317">
        <v>2564</v>
      </c>
      <c r="Y317" t="s">
        <v>944</v>
      </c>
    </row>
    <row r="318" spans="1:25">
      <c r="A318" t="s">
        <v>945</v>
      </c>
      <c r="B318" s="2" t="str">
        <f>Hyperlink("https://www.diodes.com/datasheet/download/DMN2024LCA4.pdf")</f>
        <v>https://www.diodes.com/datasheet/download/DMN2024LCA4.pdf</v>
      </c>
      <c r="C318" t="str">
        <f>Hyperlink("https://www.diodes.com/part/view/DMN2024LCA4","DMN2024LCA4")</f>
        <v>DMN2024LCA4</v>
      </c>
      <c r="D318" t="s">
        <v>849</v>
      </c>
      <c r="E318" t="s">
        <v>30</v>
      </c>
      <c r="F318" t="s">
        <v>28</v>
      </c>
      <c r="G318" t="s">
        <v>29</v>
      </c>
      <c r="H318" t="s">
        <v>27</v>
      </c>
      <c r="I318">
        <v>20</v>
      </c>
      <c r="J318">
        <v>10</v>
      </c>
      <c r="K318">
        <v>8.3</v>
      </c>
      <c r="M318">
        <v>2.4</v>
      </c>
      <c r="O318" t="s">
        <v>946</v>
      </c>
      <c r="P318">
        <v>23</v>
      </c>
      <c r="Q318">
        <v>34</v>
      </c>
      <c r="S318">
        <v>0.68</v>
      </c>
      <c r="T318">
        <v>1.3</v>
      </c>
      <c r="V318">
        <v>28.5</v>
      </c>
      <c r="W318">
        <v>991</v>
      </c>
      <c r="X318">
        <v>10</v>
      </c>
      <c r="Y318" t="s">
        <v>947</v>
      </c>
    </row>
    <row r="319" spans="1:25">
      <c r="A319" t="s">
        <v>948</v>
      </c>
      <c r="B319" s="2" t="str">
        <f>Hyperlink("https://www.diodes.com/datasheet/download/DMN2024U.pdf")</f>
        <v>https://www.diodes.com/datasheet/download/DMN2024U.pdf</v>
      </c>
      <c r="C319" t="str">
        <f>Hyperlink("https://www.diodes.com/part/view/DMN2024U","DMN2024U")</f>
        <v>DMN2024U</v>
      </c>
      <c r="D319" t="s">
        <v>26</v>
      </c>
      <c r="E319" t="s">
        <v>30</v>
      </c>
      <c r="F319" t="s">
        <v>28</v>
      </c>
      <c r="G319" t="s">
        <v>29</v>
      </c>
      <c r="H319" t="s">
        <v>27</v>
      </c>
      <c r="I319">
        <v>20</v>
      </c>
      <c r="J319">
        <v>10</v>
      </c>
      <c r="K319">
        <v>6.8</v>
      </c>
      <c r="M319">
        <v>1.4</v>
      </c>
      <c r="P319">
        <v>25</v>
      </c>
      <c r="Q319">
        <v>29</v>
      </c>
      <c r="R319">
        <v>36</v>
      </c>
      <c r="S319">
        <v>0.5</v>
      </c>
      <c r="T319">
        <v>0.9</v>
      </c>
      <c r="U319">
        <v>7.1</v>
      </c>
      <c r="W319">
        <v>647</v>
      </c>
      <c r="X319">
        <v>10</v>
      </c>
      <c r="Y319" t="s">
        <v>35</v>
      </c>
    </row>
    <row r="320" spans="1:25">
      <c r="A320" t="s">
        <v>949</v>
      </c>
      <c r="B320" s="2" t="str">
        <f>Hyperlink("https://www.diodes.com/datasheet/download/DMN2024UDH.pdf")</f>
        <v>https://www.diodes.com/datasheet/download/DMN2024UDH.pdf</v>
      </c>
      <c r="C320" t="str">
        <f>Hyperlink("https://www.diodes.com/part/view/DMN2024UDH","DMN2024UDH")</f>
        <v>DMN2024UDH</v>
      </c>
      <c r="D320" t="s">
        <v>39</v>
      </c>
      <c r="E320" t="s">
        <v>30</v>
      </c>
      <c r="F320" t="s">
        <v>28</v>
      </c>
      <c r="G320" t="s">
        <v>40</v>
      </c>
      <c r="H320" t="s">
        <v>27</v>
      </c>
      <c r="I320">
        <v>20</v>
      </c>
      <c r="J320">
        <v>10</v>
      </c>
      <c r="K320">
        <v>5.2</v>
      </c>
      <c r="M320">
        <v>1.76</v>
      </c>
      <c r="P320">
        <v>23</v>
      </c>
      <c r="Q320">
        <v>27</v>
      </c>
      <c r="R320">
        <v>34</v>
      </c>
      <c r="S320">
        <v>0.35</v>
      </c>
      <c r="T320">
        <v>1</v>
      </c>
      <c r="U320">
        <v>7.1</v>
      </c>
      <c r="V320">
        <v>28</v>
      </c>
      <c r="W320">
        <v>647</v>
      </c>
      <c r="X320">
        <v>10</v>
      </c>
      <c r="Y320" t="s">
        <v>679</v>
      </c>
    </row>
    <row r="321" spans="1:25">
      <c r="A321" t="s">
        <v>950</v>
      </c>
      <c r="B321" s="2" t="str">
        <f>Hyperlink("https://www.diodes.com/datasheet/download/DMN2024UFDF.pdf")</f>
        <v>https://www.diodes.com/datasheet/download/DMN2024UFDF.pdf</v>
      </c>
      <c r="C321" t="str">
        <f>Hyperlink("https://www.diodes.com/part/view/DMN2024UFDF","DMN2024UFDF")</f>
        <v>DMN2024UFDF</v>
      </c>
      <c r="D321" t="s">
        <v>905</v>
      </c>
      <c r="E321" t="s">
        <v>27</v>
      </c>
      <c r="F321" t="s">
        <v>28</v>
      </c>
      <c r="G321" t="s">
        <v>29</v>
      </c>
      <c r="H321" t="s">
        <v>27</v>
      </c>
      <c r="I321">
        <v>20</v>
      </c>
      <c r="J321">
        <v>10</v>
      </c>
      <c r="K321">
        <v>7.1</v>
      </c>
      <c r="M321">
        <v>1.67</v>
      </c>
      <c r="P321">
        <v>22</v>
      </c>
      <c r="Q321">
        <v>26</v>
      </c>
      <c r="R321">
        <v>36</v>
      </c>
      <c r="S321">
        <v>0.5</v>
      </c>
      <c r="T321">
        <v>1</v>
      </c>
      <c r="U321">
        <v>6.5</v>
      </c>
      <c r="V321">
        <v>14.8</v>
      </c>
      <c r="W321">
        <v>647</v>
      </c>
      <c r="X321">
        <v>10</v>
      </c>
      <c r="Y321" t="s">
        <v>780</v>
      </c>
    </row>
    <row r="322" spans="1:25">
      <c r="A322" t="s">
        <v>951</v>
      </c>
      <c r="B322" s="2" t="str">
        <f>Hyperlink("https://www.diodes.com/datasheet/download/DMN2024UFU.pdf")</f>
        <v>https://www.diodes.com/datasheet/download/DMN2024UFU.pdf</v>
      </c>
      <c r="C322" t="str">
        <f>Hyperlink("https://www.diodes.com/part/view/DMN2024UFU","DMN2024UFU")</f>
        <v>DMN2024UFU</v>
      </c>
      <c r="D322" t="s">
        <v>39</v>
      </c>
      <c r="E322" t="s">
        <v>30</v>
      </c>
      <c r="F322" t="s">
        <v>28</v>
      </c>
      <c r="G322" t="s">
        <v>40</v>
      </c>
      <c r="H322" t="s">
        <v>27</v>
      </c>
      <c r="I322">
        <v>20</v>
      </c>
      <c r="J322">
        <v>10</v>
      </c>
      <c r="K322">
        <v>7.5</v>
      </c>
      <c r="M322">
        <v>1.7</v>
      </c>
      <c r="P322">
        <v>20.2</v>
      </c>
      <c r="Q322">
        <v>23.5</v>
      </c>
      <c r="T322">
        <v>0.95</v>
      </c>
      <c r="U322">
        <v>6.5</v>
      </c>
      <c r="V322">
        <v>14.8</v>
      </c>
      <c r="W322">
        <v>647</v>
      </c>
      <c r="X322">
        <v>10</v>
      </c>
      <c r="Y322" t="s">
        <v>909</v>
      </c>
    </row>
    <row r="323" spans="1:25">
      <c r="A323" t="s">
        <v>952</v>
      </c>
      <c r="B323" s="2" t="str">
        <f>Hyperlink("https://www.diodes.com/datasheet/download/DMN2024UFX.pdf")</f>
        <v>https://www.diodes.com/datasheet/download/DMN2024UFX.pdf</v>
      </c>
      <c r="C323" t="str">
        <f>Hyperlink("https://www.diodes.com/part/view/DMN2024UFX","DMN2024UFX")</f>
        <v>DMN2024UFX</v>
      </c>
      <c r="D323" t="s">
        <v>39</v>
      </c>
      <c r="E323" t="s">
        <v>30</v>
      </c>
      <c r="F323" t="s">
        <v>28</v>
      </c>
      <c r="G323" t="s">
        <v>40</v>
      </c>
      <c r="H323" t="s">
        <v>27</v>
      </c>
      <c r="I323">
        <v>20</v>
      </c>
      <c r="J323">
        <v>10</v>
      </c>
      <c r="K323">
        <v>8</v>
      </c>
      <c r="M323">
        <v>2.1</v>
      </c>
      <c r="P323">
        <v>22</v>
      </c>
      <c r="Q323">
        <v>26</v>
      </c>
      <c r="T323">
        <v>1</v>
      </c>
      <c r="U323">
        <v>6.5</v>
      </c>
      <c r="V323">
        <v>14.8</v>
      </c>
      <c r="W323">
        <v>647</v>
      </c>
      <c r="X323">
        <v>10</v>
      </c>
      <c r="Y323" t="s">
        <v>920</v>
      </c>
    </row>
    <row r="324" spans="1:25">
      <c r="A324" t="s">
        <v>953</v>
      </c>
      <c r="B324" s="2" t="str">
        <f>Hyperlink("https://www.diodes.com/datasheet/download/DMN2024UQ.pdf")</f>
        <v>https://www.diodes.com/datasheet/download/DMN2024UQ.pdf</v>
      </c>
      <c r="C324" t="str">
        <f>Hyperlink("https://www.diodes.com/part/view/DMN2024UQ","DMN2024UQ")</f>
        <v>DMN2024UQ</v>
      </c>
      <c r="D324" t="s">
        <v>26</v>
      </c>
      <c r="E324" t="s">
        <v>27</v>
      </c>
      <c r="F324" t="s">
        <v>37</v>
      </c>
      <c r="G324" t="s">
        <v>29</v>
      </c>
      <c r="H324" t="s">
        <v>27</v>
      </c>
      <c r="I324">
        <v>20</v>
      </c>
      <c r="J324">
        <v>10</v>
      </c>
      <c r="K324">
        <v>6.8</v>
      </c>
      <c r="M324">
        <v>1.4</v>
      </c>
      <c r="P324">
        <v>25</v>
      </c>
      <c r="Q324">
        <v>29</v>
      </c>
      <c r="R324">
        <v>36</v>
      </c>
      <c r="S324">
        <v>0.5</v>
      </c>
      <c r="T324">
        <v>0.9</v>
      </c>
      <c r="U324">
        <v>6.5</v>
      </c>
      <c r="W324">
        <v>647</v>
      </c>
      <c r="X324">
        <v>10</v>
      </c>
      <c r="Y324" t="s">
        <v>35</v>
      </c>
    </row>
    <row r="325" spans="1:25">
      <c r="A325" t="s">
        <v>954</v>
      </c>
      <c r="B325" s="2" t="str">
        <f>Hyperlink("https://www.diodes.com/datasheet/download/DMN2024UTS.pdf")</f>
        <v>https://www.diodes.com/datasheet/download/DMN2024UTS.pdf</v>
      </c>
      <c r="C325" t="str">
        <f>Hyperlink("https://www.diodes.com/part/view/DMN2024UTS","DMN2024UTS")</f>
        <v>DMN2024UTS</v>
      </c>
      <c r="D325" t="s">
        <v>39</v>
      </c>
      <c r="E325" t="s">
        <v>30</v>
      </c>
      <c r="F325" t="s">
        <v>28</v>
      </c>
      <c r="G325" t="s">
        <v>40</v>
      </c>
      <c r="H325" t="s">
        <v>27</v>
      </c>
      <c r="I325">
        <v>20</v>
      </c>
      <c r="J325">
        <v>10</v>
      </c>
      <c r="K325">
        <v>6.2</v>
      </c>
      <c r="M325">
        <v>1.39</v>
      </c>
      <c r="P325">
        <v>24</v>
      </c>
      <c r="Q325">
        <v>28</v>
      </c>
      <c r="S325">
        <v>0.35</v>
      </c>
      <c r="T325">
        <v>0.95</v>
      </c>
      <c r="U325">
        <v>7.1</v>
      </c>
      <c r="V325">
        <v>14.5</v>
      </c>
      <c r="W325">
        <v>647</v>
      </c>
      <c r="X325">
        <v>10</v>
      </c>
      <c r="Y325" t="s">
        <v>716</v>
      </c>
    </row>
    <row r="326" spans="1:25">
      <c r="A326" t="s">
        <v>955</v>
      </c>
      <c r="B326" s="2" t="str">
        <f>Hyperlink("https://www.diodes.com/datasheet/download/DMN2024UVT.pdf")</f>
        <v>https://www.diodes.com/datasheet/download/DMN2024UVT.pdf</v>
      </c>
      <c r="C326" t="str">
        <f>Hyperlink("https://www.diodes.com/part/view/DMN2024UVT","DMN2024UVT")</f>
        <v>DMN2024UVT</v>
      </c>
      <c r="D326" t="s">
        <v>26</v>
      </c>
      <c r="E326" t="s">
        <v>30</v>
      </c>
      <c r="F326" t="s">
        <v>28</v>
      </c>
      <c r="G326" t="s">
        <v>40</v>
      </c>
      <c r="H326" t="s">
        <v>27</v>
      </c>
      <c r="I326">
        <v>20</v>
      </c>
      <c r="J326">
        <v>10</v>
      </c>
      <c r="K326">
        <v>7</v>
      </c>
      <c r="M326">
        <v>1.6</v>
      </c>
      <c r="P326">
        <v>24</v>
      </c>
      <c r="Q326">
        <v>28</v>
      </c>
      <c r="R326">
        <v>34</v>
      </c>
      <c r="T326">
        <v>0.9</v>
      </c>
      <c r="U326">
        <v>7.1</v>
      </c>
      <c r="W326">
        <v>647</v>
      </c>
      <c r="X326">
        <v>10</v>
      </c>
      <c r="Y326" t="s">
        <v>183</v>
      </c>
    </row>
    <row r="327" spans="1:25">
      <c r="A327" t="s">
        <v>956</v>
      </c>
      <c r="B327" s="2" t="str">
        <f>Hyperlink("https://www.diodes.com/datasheet/download/DMN2024UVTQ.pdf")</f>
        <v>https://www.diodes.com/datasheet/download/DMN2024UVTQ.pdf</v>
      </c>
      <c r="C327" t="str">
        <f>Hyperlink("https://www.diodes.com/part/view/DMN2024UVTQ","DMN2024UVTQ")</f>
        <v>DMN2024UVTQ</v>
      </c>
      <c r="D327" t="s">
        <v>26</v>
      </c>
      <c r="E327" t="s">
        <v>27</v>
      </c>
      <c r="F327" t="s">
        <v>37</v>
      </c>
      <c r="G327" t="s">
        <v>40</v>
      </c>
      <c r="H327" t="s">
        <v>27</v>
      </c>
      <c r="I327">
        <v>20</v>
      </c>
      <c r="J327">
        <v>10</v>
      </c>
      <c r="K327">
        <v>7</v>
      </c>
      <c r="M327">
        <v>1.6</v>
      </c>
      <c r="P327">
        <v>24</v>
      </c>
      <c r="Q327">
        <v>28</v>
      </c>
      <c r="R327">
        <v>34</v>
      </c>
      <c r="T327">
        <v>0.9</v>
      </c>
      <c r="U327">
        <v>7.1</v>
      </c>
      <c r="W327">
        <v>647</v>
      </c>
      <c r="X327">
        <v>10</v>
      </c>
      <c r="Y327" t="s">
        <v>183</v>
      </c>
    </row>
    <row r="328" spans="1:25">
      <c r="A328" t="s">
        <v>957</v>
      </c>
      <c r="B328" s="2" t="str">
        <f>Hyperlink("https://www.diodes.com/datasheet/download/DMN2025U.pdf")</f>
        <v>https://www.diodes.com/datasheet/download/DMN2025U.pdf</v>
      </c>
      <c r="C328" t="str">
        <f>Hyperlink("https://www.diodes.com/part/view/DMN2025U","DMN2025U")</f>
        <v>DMN2025U</v>
      </c>
      <c r="D328" t="s">
        <v>26</v>
      </c>
      <c r="E328" t="s">
        <v>30</v>
      </c>
      <c r="F328" t="s">
        <v>28</v>
      </c>
      <c r="G328" t="s">
        <v>29</v>
      </c>
      <c r="H328" t="s">
        <v>27</v>
      </c>
      <c r="I328">
        <v>20</v>
      </c>
      <c r="J328">
        <v>12</v>
      </c>
      <c r="K328">
        <v>5.6</v>
      </c>
      <c r="M328">
        <v>1.3</v>
      </c>
      <c r="P328">
        <v>27</v>
      </c>
      <c r="Q328">
        <v>35</v>
      </c>
      <c r="R328">
        <v>65</v>
      </c>
      <c r="S328">
        <v>0.5</v>
      </c>
      <c r="T328">
        <v>0.9</v>
      </c>
      <c r="U328">
        <v>5.9</v>
      </c>
      <c r="W328">
        <v>485</v>
      </c>
      <c r="X328">
        <v>10</v>
      </c>
      <c r="Y328" t="s">
        <v>35</v>
      </c>
    </row>
    <row r="329" spans="1:25">
      <c r="A329" t="s">
        <v>958</v>
      </c>
      <c r="B329" s="2" t="str">
        <f>Hyperlink("https://www.diodes.com/datasheet/download/DMN2025UFDB.pdf")</f>
        <v>https://www.diodes.com/datasheet/download/DMN2025UFDB.pdf</v>
      </c>
      <c r="C329" t="str">
        <f>Hyperlink("https://www.diodes.com/part/view/DMN2025UFDB","DMN2025UFDB")</f>
        <v>DMN2025UFDB</v>
      </c>
      <c r="D329" t="s">
        <v>959</v>
      </c>
      <c r="E329" t="s">
        <v>30</v>
      </c>
      <c r="F329" t="s">
        <v>28</v>
      </c>
      <c r="G329" t="s">
        <v>40</v>
      </c>
      <c r="H329" t="s">
        <v>27</v>
      </c>
      <c r="I329">
        <v>20</v>
      </c>
      <c r="J329">
        <v>10</v>
      </c>
      <c r="K329">
        <v>6</v>
      </c>
      <c r="M329">
        <v>1.4</v>
      </c>
      <c r="P329">
        <v>25</v>
      </c>
      <c r="Q329">
        <v>31</v>
      </c>
      <c r="S329">
        <v>0.5</v>
      </c>
      <c r="T329">
        <v>1</v>
      </c>
      <c r="U329">
        <v>5.9</v>
      </c>
      <c r="V329">
        <v>12.3</v>
      </c>
      <c r="W329">
        <v>486</v>
      </c>
      <c r="X329">
        <v>10</v>
      </c>
      <c r="Y329" t="s">
        <v>179</v>
      </c>
    </row>
    <row r="330" spans="1:25">
      <c r="A330" t="s">
        <v>960</v>
      </c>
      <c r="B330" s="2" t="str">
        <f>Hyperlink("https://www.diodes.com/datasheet/download/DMN2025UFDF.pdf")</f>
        <v>https://www.diodes.com/datasheet/download/DMN2025UFDF.pdf</v>
      </c>
      <c r="C330" t="str">
        <f>Hyperlink("https://www.diodes.com/part/view/DMN2025UFDF","DMN2025UFDF")</f>
        <v>DMN2025UFDF</v>
      </c>
      <c r="D330" t="s">
        <v>905</v>
      </c>
      <c r="E330" t="s">
        <v>30</v>
      </c>
      <c r="F330" t="s">
        <v>28</v>
      </c>
      <c r="G330" t="s">
        <v>29</v>
      </c>
      <c r="H330" t="s">
        <v>27</v>
      </c>
      <c r="I330">
        <v>20</v>
      </c>
      <c r="J330">
        <v>10</v>
      </c>
      <c r="K330">
        <v>6.5</v>
      </c>
      <c r="M330">
        <v>1.6</v>
      </c>
      <c r="P330">
        <v>25</v>
      </c>
      <c r="Q330">
        <v>31</v>
      </c>
      <c r="R330">
        <v>60</v>
      </c>
      <c r="S330">
        <v>0.5</v>
      </c>
      <c r="T330">
        <v>1</v>
      </c>
      <c r="U330">
        <v>5.9</v>
      </c>
      <c r="V330">
        <v>12.3</v>
      </c>
      <c r="W330">
        <v>486</v>
      </c>
      <c r="X330">
        <v>10</v>
      </c>
      <c r="Y330" t="s">
        <v>780</v>
      </c>
    </row>
    <row r="331" spans="1:25">
      <c r="A331" t="s">
        <v>961</v>
      </c>
      <c r="B331" s="2" t="str">
        <f>Hyperlink("https://www.diodes.com/datasheet/download/DMN2026UVT.pdf")</f>
        <v>https://www.diodes.com/datasheet/download/DMN2026UVT.pdf</v>
      </c>
      <c r="C331" t="str">
        <f>Hyperlink("https://www.diodes.com/part/view/DMN2026UVT","DMN2026UVT")</f>
        <v>DMN2026UVT</v>
      </c>
      <c r="D331" t="s">
        <v>26</v>
      </c>
      <c r="E331" t="s">
        <v>30</v>
      </c>
      <c r="F331" t="s">
        <v>28</v>
      </c>
      <c r="G331" t="s">
        <v>29</v>
      </c>
      <c r="H331" t="s">
        <v>30</v>
      </c>
      <c r="I331">
        <v>20</v>
      </c>
      <c r="J331">
        <v>10</v>
      </c>
      <c r="K331">
        <v>6.2</v>
      </c>
      <c r="M331">
        <v>1.75</v>
      </c>
      <c r="P331">
        <v>24</v>
      </c>
      <c r="Q331">
        <v>32</v>
      </c>
      <c r="T331">
        <v>1.5</v>
      </c>
      <c r="U331">
        <v>10</v>
      </c>
      <c r="V331" t="s">
        <v>962</v>
      </c>
      <c r="X331">
        <v>10</v>
      </c>
      <c r="Y331" t="s">
        <v>183</v>
      </c>
    </row>
    <row r="332" spans="1:25">
      <c r="A332" t="s">
        <v>963</v>
      </c>
      <c r="B332" s="2" t="str">
        <f>Hyperlink("https://www.diodes.com/datasheet/download/DMN2027UPS.pdf")</f>
        <v>https://www.diodes.com/datasheet/download/DMN2027UPS.pdf</v>
      </c>
      <c r="C332" t="str">
        <f>Hyperlink("https://www.diodes.com/part/view/DMN2027UPS","DMN2027UPS")</f>
        <v>DMN2027UPS</v>
      </c>
      <c r="D332" t="s">
        <v>905</v>
      </c>
      <c r="E332" t="s">
        <v>30</v>
      </c>
      <c r="F332" t="s">
        <v>28</v>
      </c>
      <c r="G332" t="s">
        <v>29</v>
      </c>
      <c r="H332" t="s">
        <v>30</v>
      </c>
      <c r="I332">
        <v>20</v>
      </c>
      <c r="J332">
        <v>12</v>
      </c>
      <c r="K332">
        <v>10</v>
      </c>
      <c r="M332">
        <v>1.9</v>
      </c>
      <c r="P332">
        <v>12.5</v>
      </c>
      <c r="Q332">
        <v>19</v>
      </c>
      <c r="T332">
        <v>1.3</v>
      </c>
      <c r="U332">
        <v>11.6</v>
      </c>
      <c r="W332">
        <v>1091</v>
      </c>
      <c r="X332">
        <v>10</v>
      </c>
      <c r="Y332" t="s">
        <v>907</v>
      </c>
    </row>
    <row r="333" spans="1:25">
      <c r="A333" t="s">
        <v>964</v>
      </c>
      <c r="B333" s="2" t="str">
        <f>Hyperlink("https://www.diodes.com/datasheet/download/DMN2027USS.pdf")</f>
        <v>https://www.diodes.com/datasheet/download/DMN2027USS.pdf</v>
      </c>
      <c r="C333" t="str">
        <f>Hyperlink("https://www.diodes.com/part/view/DMN2027USS","DMN2027USS")</f>
        <v>DMN2027USS</v>
      </c>
      <c r="D333" t="s">
        <v>631</v>
      </c>
      <c r="E333" t="s">
        <v>27</v>
      </c>
      <c r="F333" t="s">
        <v>28</v>
      </c>
      <c r="G333" t="s">
        <v>29</v>
      </c>
      <c r="H333" t="s">
        <v>30</v>
      </c>
      <c r="I333">
        <v>20</v>
      </c>
      <c r="J333">
        <v>12</v>
      </c>
      <c r="K333">
        <v>10.5</v>
      </c>
      <c r="M333">
        <v>2</v>
      </c>
      <c r="P333">
        <v>12.5</v>
      </c>
      <c r="Q333">
        <v>19</v>
      </c>
      <c r="S333">
        <v>0.7</v>
      </c>
      <c r="T333">
        <v>1.3</v>
      </c>
      <c r="U333">
        <v>11.6</v>
      </c>
      <c r="W333">
        <v>1000</v>
      </c>
      <c r="Y333" t="s">
        <v>213</v>
      </c>
    </row>
    <row r="334" spans="1:25">
      <c r="A334" t="s">
        <v>965</v>
      </c>
      <c r="B334" s="2" t="str">
        <f>Hyperlink("https://www.diodes.com/datasheet/download/DMN2028UFDF.pdf")</f>
        <v>https://www.diodes.com/datasheet/download/DMN2028UFDF.pdf</v>
      </c>
      <c r="C334" t="str">
        <f>Hyperlink("https://www.diodes.com/part/view/DMN2028UFDF","DMN2028UFDF")</f>
        <v>DMN2028UFDF</v>
      </c>
      <c r="D334" t="s">
        <v>26</v>
      </c>
      <c r="E334" t="s">
        <v>30</v>
      </c>
      <c r="F334" t="s">
        <v>28</v>
      </c>
      <c r="G334" t="s">
        <v>29</v>
      </c>
      <c r="H334" t="s">
        <v>27</v>
      </c>
      <c r="I334">
        <v>20</v>
      </c>
      <c r="J334">
        <v>8</v>
      </c>
      <c r="K334">
        <v>7.9</v>
      </c>
      <c r="M334">
        <v>2.03</v>
      </c>
      <c r="P334">
        <v>25</v>
      </c>
      <c r="Q334">
        <v>29</v>
      </c>
      <c r="R334">
        <v>39</v>
      </c>
      <c r="T334">
        <v>1</v>
      </c>
      <c r="U334">
        <v>9.8</v>
      </c>
      <c r="V334" t="s">
        <v>941</v>
      </c>
      <c r="W334">
        <v>907</v>
      </c>
      <c r="X334">
        <v>10</v>
      </c>
      <c r="Y334" t="s">
        <v>780</v>
      </c>
    </row>
    <row r="335" spans="1:25">
      <c r="A335" t="s">
        <v>966</v>
      </c>
      <c r="B335" s="2" t="str">
        <f>Hyperlink("https://www.diodes.com/datasheet/download/DMN2028UFDH.pdf")</f>
        <v>https://www.diodes.com/datasheet/download/DMN2028UFDH.pdf</v>
      </c>
      <c r="C335" t="str">
        <f>Hyperlink("https://www.diodes.com/part/view/DMN2028UFDH","DMN2028UFDH")</f>
        <v>DMN2028UFDH</v>
      </c>
      <c r="D335" t="s">
        <v>631</v>
      </c>
      <c r="E335" t="s">
        <v>27</v>
      </c>
      <c r="F335" t="s">
        <v>28</v>
      </c>
      <c r="G335" t="s">
        <v>40</v>
      </c>
      <c r="H335" t="s">
        <v>27</v>
      </c>
      <c r="I335">
        <v>20</v>
      </c>
      <c r="J335">
        <v>12</v>
      </c>
      <c r="K335">
        <v>6.8</v>
      </c>
      <c r="M335">
        <v>1.5</v>
      </c>
      <c r="O335">
        <v>20</v>
      </c>
      <c r="P335">
        <v>22</v>
      </c>
      <c r="Q335">
        <v>26</v>
      </c>
      <c r="R335">
        <v>36</v>
      </c>
      <c r="S335">
        <v>0.5</v>
      </c>
      <c r="T335">
        <v>1</v>
      </c>
      <c r="U335">
        <v>8.5</v>
      </c>
      <c r="W335">
        <v>151</v>
      </c>
      <c r="Y335" t="s">
        <v>967</v>
      </c>
    </row>
    <row r="336" spans="1:25">
      <c r="A336" t="s">
        <v>968</v>
      </c>
      <c r="B336" s="2" t="str">
        <f>Hyperlink("https://www.diodes.com/datasheet/download/DMN2028UFU.pdf")</f>
        <v>https://www.diodes.com/datasheet/download/DMN2028UFU.pdf</v>
      </c>
      <c r="C336" t="str">
        <f>Hyperlink("https://www.diodes.com/part/view/DMN2028UFU","DMN2028UFU")</f>
        <v>DMN2028UFU</v>
      </c>
      <c r="D336" t="s">
        <v>26</v>
      </c>
      <c r="E336" t="s">
        <v>30</v>
      </c>
      <c r="F336" t="s">
        <v>28</v>
      </c>
      <c r="G336" t="s">
        <v>40</v>
      </c>
      <c r="H336" t="s">
        <v>27</v>
      </c>
      <c r="I336">
        <v>20</v>
      </c>
      <c r="J336">
        <v>10</v>
      </c>
      <c r="K336">
        <v>7.5</v>
      </c>
      <c r="M336">
        <v>1.8</v>
      </c>
      <c r="P336">
        <v>20.2</v>
      </c>
      <c r="Q336">
        <v>23.5</v>
      </c>
      <c r="R336">
        <v>30</v>
      </c>
      <c r="T336">
        <v>1</v>
      </c>
      <c r="U336">
        <v>10</v>
      </c>
      <c r="V336" t="s">
        <v>962</v>
      </c>
      <c r="W336">
        <v>887</v>
      </c>
      <c r="X336">
        <v>10</v>
      </c>
      <c r="Y336" t="s">
        <v>909</v>
      </c>
    </row>
    <row r="337" spans="1:25">
      <c r="A337" t="s">
        <v>969</v>
      </c>
      <c r="B337" s="2" t="str">
        <f>Hyperlink("https://www.diodes.com/datasheet/download/DMN2028USS.pdf")</f>
        <v>https://www.diodes.com/datasheet/download/DMN2028USS.pdf</v>
      </c>
      <c r="C337" t="str">
        <f>Hyperlink("https://www.diodes.com/part/view/DMN2028USS","DMN2028USS")</f>
        <v>DMN2028USS</v>
      </c>
      <c r="D337" t="s">
        <v>631</v>
      </c>
      <c r="E337" t="s">
        <v>27</v>
      </c>
      <c r="F337" t="s">
        <v>28</v>
      </c>
      <c r="G337" t="s">
        <v>29</v>
      </c>
      <c r="H337" t="s">
        <v>27</v>
      </c>
      <c r="I337">
        <v>20</v>
      </c>
      <c r="J337">
        <v>12</v>
      </c>
      <c r="K337">
        <v>7.3</v>
      </c>
      <c r="M337">
        <v>1.56</v>
      </c>
      <c r="P337">
        <v>20</v>
      </c>
      <c r="Q337">
        <v>28</v>
      </c>
      <c r="S337">
        <v>0.6</v>
      </c>
      <c r="T337">
        <v>1.3</v>
      </c>
      <c r="U337">
        <v>11.6</v>
      </c>
      <c r="V337">
        <v>28.5</v>
      </c>
      <c r="W337">
        <v>1000</v>
      </c>
      <c r="Y337" t="s">
        <v>213</v>
      </c>
    </row>
    <row r="338" spans="1:25">
      <c r="A338" t="s">
        <v>970</v>
      </c>
      <c r="B338" s="2" t="str">
        <f>Hyperlink("https://www.diodes.com/datasheet/download/DMN2028UVT.pdf")</f>
        <v>https://www.diodes.com/datasheet/download/DMN2028UVT.pdf</v>
      </c>
      <c r="C338" t="str">
        <f>Hyperlink("https://www.diodes.com/part/view/DMN2028UVT","DMN2028UVT")</f>
        <v>DMN2028UVT</v>
      </c>
      <c r="D338" t="s">
        <v>26</v>
      </c>
      <c r="E338" t="s">
        <v>30</v>
      </c>
      <c r="F338" t="s">
        <v>28</v>
      </c>
      <c r="G338" t="s">
        <v>29</v>
      </c>
      <c r="H338" t="s">
        <v>30</v>
      </c>
      <c r="I338">
        <v>20</v>
      </c>
      <c r="J338">
        <v>8</v>
      </c>
      <c r="K338">
        <v>6.2</v>
      </c>
      <c r="M338">
        <v>1.6</v>
      </c>
      <c r="P338">
        <v>24</v>
      </c>
      <c r="Q338">
        <v>32</v>
      </c>
      <c r="T338">
        <v>1.5</v>
      </c>
      <c r="U338">
        <v>8.3</v>
      </c>
      <c r="W338">
        <v>856</v>
      </c>
      <c r="X338">
        <v>10</v>
      </c>
      <c r="Y338" t="s">
        <v>183</v>
      </c>
    </row>
    <row r="339" spans="1:25">
      <c r="A339" t="s">
        <v>971</v>
      </c>
      <c r="B339" s="2" t="str">
        <f>Hyperlink("https://www.diodes.com/datasheet/download/DMN2029USD.pdf")</f>
        <v>https://www.diodes.com/datasheet/download/DMN2029USD.pdf</v>
      </c>
      <c r="C339" t="str">
        <f>Hyperlink("https://www.diodes.com/part/view/DMN2029USD","DMN2029USD")</f>
        <v>DMN2029USD</v>
      </c>
      <c r="D339" t="s">
        <v>631</v>
      </c>
      <c r="E339" t="s">
        <v>27</v>
      </c>
      <c r="F339" t="s">
        <v>28</v>
      </c>
      <c r="G339" t="s">
        <v>40</v>
      </c>
      <c r="H339" t="s">
        <v>30</v>
      </c>
      <c r="I339">
        <v>20</v>
      </c>
      <c r="J339">
        <v>8</v>
      </c>
      <c r="K339">
        <v>5.8</v>
      </c>
      <c r="M339">
        <v>1.4</v>
      </c>
      <c r="P339">
        <v>25</v>
      </c>
      <c r="Q339">
        <v>35</v>
      </c>
      <c r="S339">
        <v>0.6</v>
      </c>
      <c r="T339">
        <v>1.5</v>
      </c>
      <c r="U339">
        <v>10.4</v>
      </c>
      <c r="V339" t="s">
        <v>972</v>
      </c>
      <c r="W339">
        <v>1171</v>
      </c>
      <c r="Y339" t="s">
        <v>213</v>
      </c>
    </row>
    <row r="340" spans="1:25">
      <c r="A340" t="s">
        <v>973</v>
      </c>
      <c r="B340" s="2" t="str">
        <f>Hyperlink("https://www.diodes.com/datasheet/download/DMN2029UVT.pdf")</f>
        <v>https://www.diodes.com/datasheet/download/DMN2029UVT.pdf</v>
      </c>
      <c r="C340" t="str">
        <f>Hyperlink("https://www.diodes.com/part/view/DMN2029UVT","DMN2029UVT")</f>
        <v>DMN2029UVT</v>
      </c>
      <c r="D340" t="s">
        <v>26</v>
      </c>
      <c r="E340" t="s">
        <v>30</v>
      </c>
      <c r="F340" t="s">
        <v>28</v>
      </c>
      <c r="G340" t="s">
        <v>29</v>
      </c>
      <c r="H340" t="s">
        <v>30</v>
      </c>
      <c r="I340">
        <v>20</v>
      </c>
      <c r="J340">
        <v>10</v>
      </c>
      <c r="K340">
        <v>6.8</v>
      </c>
      <c r="M340">
        <v>1.7</v>
      </c>
      <c r="P340">
        <v>24</v>
      </c>
      <c r="Q340">
        <v>32</v>
      </c>
      <c r="S340">
        <v>0.4</v>
      </c>
      <c r="T340">
        <v>1.5</v>
      </c>
      <c r="U340">
        <v>7.1</v>
      </c>
      <c r="W340">
        <v>646</v>
      </c>
      <c r="X340">
        <v>10</v>
      </c>
      <c r="Y340" t="s">
        <v>183</v>
      </c>
    </row>
    <row r="341" spans="1:25">
      <c r="A341" t="s">
        <v>974</v>
      </c>
      <c r="B341" s="2" t="str">
        <f>Hyperlink("https://www.diodes.com/datasheet/download/DMN2030UCA4.pdf")</f>
        <v>https://www.diodes.com/datasheet/download/DMN2030UCA4.pdf</v>
      </c>
      <c r="C341" t="str">
        <f>Hyperlink("https://www.diodes.com/part/view/DMN2030UCA4","DMN2030UCA4")</f>
        <v>DMN2030UCA4</v>
      </c>
      <c r="D341" t="s">
        <v>26</v>
      </c>
      <c r="E341" t="s">
        <v>30</v>
      </c>
      <c r="F341" t="s">
        <v>28</v>
      </c>
      <c r="G341" t="s">
        <v>40</v>
      </c>
      <c r="H341" t="s">
        <v>30</v>
      </c>
      <c r="I341">
        <v>20</v>
      </c>
      <c r="J341">
        <v>12</v>
      </c>
      <c r="K341">
        <v>6.3</v>
      </c>
      <c r="M341">
        <v>1.9</v>
      </c>
      <c r="P341">
        <v>32</v>
      </c>
      <c r="Q341">
        <v>50</v>
      </c>
      <c r="S341">
        <v>0.35</v>
      </c>
      <c r="T341">
        <v>1.4</v>
      </c>
      <c r="W341">
        <v>523</v>
      </c>
      <c r="X341">
        <v>10</v>
      </c>
      <c r="Y341" t="s">
        <v>975</v>
      </c>
    </row>
    <row r="342" spans="1:25">
      <c r="A342" t="s">
        <v>976</v>
      </c>
      <c r="B342" s="2" t="str">
        <f>Hyperlink("https://www.diodes.com/datasheet/download/DMN2036UCB4.pdf")</f>
        <v>https://www.diodes.com/datasheet/download/DMN2036UCB4.pdf</v>
      </c>
      <c r="C342" t="str">
        <f>Hyperlink("https://www.diodes.com/part/view/DMN2036UCB4","DMN2036UCB4")</f>
        <v>DMN2036UCB4</v>
      </c>
      <c r="D342" t="s">
        <v>97</v>
      </c>
      <c r="E342" t="s">
        <v>30</v>
      </c>
      <c r="F342" t="s">
        <v>28</v>
      </c>
      <c r="G342" t="s">
        <v>40</v>
      </c>
      <c r="H342" t="s">
        <v>27</v>
      </c>
      <c r="I342">
        <v>24</v>
      </c>
      <c r="J342">
        <v>12</v>
      </c>
      <c r="K342">
        <v>5</v>
      </c>
      <c r="M342">
        <v>1.45</v>
      </c>
      <c r="P342">
        <v>36</v>
      </c>
      <c r="Q342">
        <v>52</v>
      </c>
      <c r="S342">
        <v>0.5</v>
      </c>
      <c r="T342">
        <v>1.3</v>
      </c>
      <c r="U342">
        <v>12.6</v>
      </c>
      <c r="Y342" t="s">
        <v>977</v>
      </c>
    </row>
    <row r="343" spans="1:25">
      <c r="A343" t="s">
        <v>978</v>
      </c>
      <c r="B343" s="2" t="str">
        <f>Hyperlink("https://www.diodes.com/datasheet/download/DMN2040LTS.pdf")</f>
        <v>https://www.diodes.com/datasheet/download/DMN2040LTS.pdf</v>
      </c>
      <c r="C343" t="str">
        <f>Hyperlink("https://www.diodes.com/part/view/DMN2040LTS","DMN2040LTS")</f>
        <v>DMN2040LTS</v>
      </c>
      <c r="D343" t="s">
        <v>631</v>
      </c>
      <c r="E343" t="s">
        <v>27</v>
      </c>
      <c r="F343" t="s">
        <v>28</v>
      </c>
      <c r="G343" t="s">
        <v>40</v>
      </c>
      <c r="H343" t="s">
        <v>30</v>
      </c>
      <c r="I343">
        <v>20</v>
      </c>
      <c r="J343">
        <v>12</v>
      </c>
      <c r="K343">
        <v>6.7</v>
      </c>
      <c r="M343">
        <v>0.89</v>
      </c>
      <c r="P343">
        <v>26</v>
      </c>
      <c r="Q343">
        <v>36</v>
      </c>
      <c r="S343">
        <v>0.5</v>
      </c>
      <c r="T343">
        <v>1.2</v>
      </c>
      <c r="U343">
        <v>5.2</v>
      </c>
      <c r="W343">
        <v>570</v>
      </c>
      <c r="Y343" t="s">
        <v>716</v>
      </c>
    </row>
    <row r="344" spans="1:25">
      <c r="A344" t="s">
        <v>979</v>
      </c>
      <c r="B344" s="2" t="str">
        <f>Hyperlink("https://www.diodes.com/datasheet/download/DMN2040U+.pdf")</f>
        <v>https://www.diodes.com/datasheet/download/DMN2040U+.pdf</v>
      </c>
      <c r="C344" t="str">
        <f>Hyperlink("https://www.diodes.com/part/view/DMN2040U","DMN2040U")</f>
        <v>DMN2040U</v>
      </c>
      <c r="D344" t="s">
        <v>26</v>
      </c>
      <c r="E344" t="s">
        <v>30</v>
      </c>
      <c r="F344" t="s">
        <v>28</v>
      </c>
      <c r="G344" t="s">
        <v>29</v>
      </c>
      <c r="H344" t="s">
        <v>30</v>
      </c>
      <c r="I344">
        <v>20</v>
      </c>
      <c r="J344">
        <v>12</v>
      </c>
      <c r="K344">
        <v>6</v>
      </c>
      <c r="M344">
        <v>1.36</v>
      </c>
      <c r="P344">
        <v>25</v>
      </c>
      <c r="Q344">
        <v>33</v>
      </c>
      <c r="S344">
        <v>0.5</v>
      </c>
      <c r="T344">
        <v>1.2</v>
      </c>
      <c r="U344">
        <v>7.5</v>
      </c>
      <c r="W344">
        <v>667</v>
      </c>
      <c r="X344">
        <v>10</v>
      </c>
      <c r="Y344" t="s">
        <v>35</v>
      </c>
    </row>
    <row r="345" spans="1:25">
      <c r="A345" t="s">
        <v>980</v>
      </c>
      <c r="B345" s="2" t="str">
        <f>Hyperlink("https://www.diodes.com/datasheet/download/DMN2040UQ.pdf")</f>
        <v>https://www.diodes.com/datasheet/download/DMN2040UQ.pdf</v>
      </c>
      <c r="C345" t="str">
        <f>Hyperlink("https://www.diodes.com/part/view/DMN2040UQ","DMN2040UQ")</f>
        <v>DMN2040UQ</v>
      </c>
      <c r="D345" t="s">
        <v>849</v>
      </c>
      <c r="E345" t="s">
        <v>27</v>
      </c>
      <c r="F345" t="s">
        <v>37</v>
      </c>
      <c r="G345" t="s">
        <v>29</v>
      </c>
      <c r="H345" t="s">
        <v>30</v>
      </c>
      <c r="I345">
        <v>20</v>
      </c>
      <c r="J345">
        <v>12</v>
      </c>
      <c r="K345">
        <v>6</v>
      </c>
      <c r="M345">
        <v>1.36</v>
      </c>
      <c r="P345">
        <v>25</v>
      </c>
      <c r="Q345">
        <v>33</v>
      </c>
      <c r="S345">
        <v>0.5</v>
      </c>
      <c r="T345">
        <v>1.2</v>
      </c>
      <c r="U345">
        <v>7.5</v>
      </c>
      <c r="W345">
        <v>667</v>
      </c>
      <c r="X345">
        <v>10</v>
      </c>
      <c r="Y345" t="s">
        <v>35</v>
      </c>
    </row>
    <row r="346" spans="1:25">
      <c r="A346" t="s">
        <v>981</v>
      </c>
      <c r="B346" s="2" t="str">
        <f>Hyperlink("https://www.diodes.com/datasheet/download/DMN2040UVT.pdf")</f>
        <v>https://www.diodes.com/datasheet/download/DMN2040UVT.pdf</v>
      </c>
      <c r="C346" t="str">
        <f>Hyperlink("https://www.diodes.com/part/view/DMN2040UVT","DMN2040UVT")</f>
        <v>DMN2040UVT</v>
      </c>
      <c r="D346" t="s">
        <v>905</v>
      </c>
      <c r="E346" t="s">
        <v>30</v>
      </c>
      <c r="F346" t="s">
        <v>28</v>
      </c>
      <c r="G346" t="s">
        <v>29</v>
      </c>
      <c r="H346" t="s">
        <v>30</v>
      </c>
      <c r="I346">
        <v>20</v>
      </c>
      <c r="J346">
        <v>8</v>
      </c>
      <c r="K346">
        <v>6.7</v>
      </c>
      <c r="M346">
        <v>1.6</v>
      </c>
      <c r="P346">
        <v>24</v>
      </c>
      <c r="Q346">
        <v>32</v>
      </c>
      <c r="S346">
        <v>0.4</v>
      </c>
      <c r="T346">
        <v>1.5</v>
      </c>
      <c r="U346">
        <v>7.5</v>
      </c>
      <c r="W346">
        <v>667</v>
      </c>
      <c r="X346">
        <v>10</v>
      </c>
      <c r="Y346" t="s">
        <v>183</v>
      </c>
    </row>
    <row r="347" spans="1:25">
      <c r="A347" t="s">
        <v>982</v>
      </c>
      <c r="B347" s="2" t="str">
        <f>Hyperlink("https://www.diodes.com/datasheet/download/DMN2041LSD.pdf")</f>
        <v>https://www.diodes.com/datasheet/download/DMN2041LSD.pdf</v>
      </c>
      <c r="C347" t="str">
        <f>Hyperlink("https://www.diodes.com/part/view/DMN2041LSD","DMN2041LSD")</f>
        <v>DMN2041LSD</v>
      </c>
      <c r="D347" t="s">
        <v>39</v>
      </c>
      <c r="E347" t="s">
        <v>27</v>
      </c>
      <c r="F347" t="s">
        <v>28</v>
      </c>
      <c r="G347" t="s">
        <v>40</v>
      </c>
      <c r="H347" t="s">
        <v>30</v>
      </c>
      <c r="I347">
        <v>20</v>
      </c>
      <c r="J347">
        <v>12</v>
      </c>
      <c r="K347">
        <v>7.6</v>
      </c>
      <c r="M347">
        <v>1.16</v>
      </c>
      <c r="P347">
        <v>28</v>
      </c>
      <c r="Q347">
        <v>41</v>
      </c>
      <c r="S347">
        <v>0.5</v>
      </c>
      <c r="T347">
        <v>1.2</v>
      </c>
      <c r="U347">
        <v>7.2</v>
      </c>
      <c r="V347">
        <v>15.6</v>
      </c>
      <c r="W347">
        <v>550</v>
      </c>
      <c r="Y347" t="s">
        <v>213</v>
      </c>
    </row>
    <row r="348" spans="1:25">
      <c r="A348" t="s">
        <v>983</v>
      </c>
      <c r="B348" s="2" t="str">
        <f>Hyperlink("https://www.diodes.com/datasheet/download/DMN2041UFDB.pdf")</f>
        <v>https://www.diodes.com/datasheet/download/DMN2041UFDB.pdf</v>
      </c>
      <c r="C348" t="str">
        <f>Hyperlink("https://www.diodes.com/part/view/DMN2041UFDB","DMN2041UFDB")</f>
        <v>DMN2041UFDB</v>
      </c>
      <c r="D348" t="s">
        <v>39</v>
      </c>
      <c r="E348" t="s">
        <v>30</v>
      </c>
      <c r="F348" t="s">
        <v>28</v>
      </c>
      <c r="G348" t="s">
        <v>40</v>
      </c>
      <c r="H348" t="s">
        <v>27</v>
      </c>
      <c r="I348">
        <v>20</v>
      </c>
      <c r="J348">
        <v>12</v>
      </c>
      <c r="K348">
        <v>4.7</v>
      </c>
      <c r="M348">
        <v>1.4</v>
      </c>
      <c r="P348">
        <v>40</v>
      </c>
      <c r="Q348">
        <v>65</v>
      </c>
      <c r="S348">
        <v>0.35</v>
      </c>
      <c r="T348">
        <v>1.4</v>
      </c>
      <c r="U348">
        <v>8</v>
      </c>
      <c r="V348" t="s">
        <v>984</v>
      </c>
      <c r="W348">
        <v>713</v>
      </c>
      <c r="Y348" t="s">
        <v>179</v>
      </c>
    </row>
    <row r="349" spans="1:25">
      <c r="A349" t="s">
        <v>985</v>
      </c>
      <c r="B349" s="2" t="str">
        <f>Hyperlink("https://www.diodes.com/datasheet/download/DMN2041UVT.pdf")</f>
        <v>https://www.diodes.com/datasheet/download/DMN2041UVT.pdf</v>
      </c>
      <c r="C349" t="str">
        <f>Hyperlink("https://www.diodes.com/part/view/DMN2041UVT","DMN2041UVT")</f>
        <v>DMN2041UVT</v>
      </c>
      <c r="D349" t="s">
        <v>39</v>
      </c>
      <c r="E349" t="s">
        <v>30</v>
      </c>
      <c r="F349" t="s">
        <v>28</v>
      </c>
      <c r="G349" t="s">
        <v>40</v>
      </c>
      <c r="H349" t="s">
        <v>30</v>
      </c>
      <c r="I349">
        <v>20</v>
      </c>
      <c r="J349">
        <v>8</v>
      </c>
      <c r="K349">
        <v>5.8</v>
      </c>
      <c r="M349">
        <v>1.1</v>
      </c>
      <c r="P349">
        <v>28</v>
      </c>
      <c r="Q349">
        <v>32</v>
      </c>
      <c r="R349">
        <v>40</v>
      </c>
      <c r="S349">
        <v>0.4</v>
      </c>
      <c r="T349">
        <v>0.9</v>
      </c>
      <c r="U349">
        <v>9.1</v>
      </c>
      <c r="W349">
        <v>689</v>
      </c>
      <c r="X349">
        <v>10</v>
      </c>
      <c r="Y349" t="s">
        <v>183</v>
      </c>
    </row>
    <row r="350" spans="1:25">
      <c r="A350" t="s">
        <v>986</v>
      </c>
      <c r="B350" s="2" t="str">
        <f>Hyperlink("https://www.diodes.com/datasheet/download/DMN2044UCB4.pdf")</f>
        <v>https://www.diodes.com/datasheet/download/DMN2044UCB4.pdf</v>
      </c>
      <c r="C350" t="str">
        <f>Hyperlink("https://www.diodes.com/part/view/DMN2044UCB4","DMN2044UCB4")</f>
        <v>DMN2044UCB4</v>
      </c>
      <c r="D350" t="s">
        <v>26</v>
      </c>
      <c r="E350" t="s">
        <v>30</v>
      </c>
      <c r="F350" t="s">
        <v>28</v>
      </c>
      <c r="G350" t="s">
        <v>29</v>
      </c>
      <c r="H350" t="s">
        <v>30</v>
      </c>
      <c r="I350">
        <v>20</v>
      </c>
      <c r="J350">
        <v>8</v>
      </c>
      <c r="K350">
        <v>4.5</v>
      </c>
      <c r="M350">
        <v>1.18</v>
      </c>
      <c r="P350">
        <v>40</v>
      </c>
      <c r="Q350">
        <v>50</v>
      </c>
      <c r="R350">
        <v>56</v>
      </c>
      <c r="S350">
        <v>0.4</v>
      </c>
      <c r="T350">
        <v>0.9</v>
      </c>
      <c r="U350">
        <v>13.1</v>
      </c>
      <c r="V350" t="s">
        <v>987</v>
      </c>
      <c r="W350">
        <v>1056</v>
      </c>
      <c r="X350">
        <v>10</v>
      </c>
      <c r="Y350" t="s">
        <v>988</v>
      </c>
    </row>
    <row r="351" spans="1:25">
      <c r="A351" t="s">
        <v>989</v>
      </c>
      <c r="B351" s="2" t="str">
        <f>Hyperlink("https://www.diodes.com/datasheet/download/DMN2046U.pdf")</f>
        <v>https://www.diodes.com/datasheet/download/DMN2046U.pdf</v>
      </c>
      <c r="C351" t="str">
        <f>Hyperlink("https://www.diodes.com/part/view/DMN2046U","DMN2046U")</f>
        <v>DMN2046U</v>
      </c>
      <c r="D351" t="s">
        <v>26</v>
      </c>
      <c r="E351" t="s">
        <v>30</v>
      </c>
      <c r="F351" t="s">
        <v>28</v>
      </c>
      <c r="G351" t="s">
        <v>29</v>
      </c>
      <c r="H351" t="s">
        <v>27</v>
      </c>
      <c r="I351">
        <v>20</v>
      </c>
      <c r="J351">
        <v>12</v>
      </c>
      <c r="K351">
        <v>3.4</v>
      </c>
      <c r="M351">
        <v>1.26</v>
      </c>
      <c r="P351">
        <v>72</v>
      </c>
      <c r="Q351">
        <v>110</v>
      </c>
      <c r="S351">
        <v>0.4</v>
      </c>
      <c r="T351">
        <v>1.4</v>
      </c>
      <c r="U351">
        <v>3.8</v>
      </c>
      <c r="W351">
        <v>292</v>
      </c>
      <c r="Y351" t="s">
        <v>35</v>
      </c>
    </row>
    <row r="352" spans="1:25">
      <c r="A352" t="s">
        <v>990</v>
      </c>
      <c r="B352" s="2" t="str">
        <f>Hyperlink("https://www.diodes.com/datasheet/download/DMN2046UVT.pdf")</f>
        <v>https://www.diodes.com/datasheet/download/DMN2046UVT.pdf</v>
      </c>
      <c r="C352" t="str">
        <f>Hyperlink("https://www.diodes.com/part/view/DMN2046UVT","DMN2046UVT")</f>
        <v>DMN2046UVT</v>
      </c>
      <c r="D352" t="s">
        <v>39</v>
      </c>
      <c r="E352" t="s">
        <v>30</v>
      </c>
      <c r="F352" t="s">
        <v>28</v>
      </c>
      <c r="G352" t="s">
        <v>40</v>
      </c>
      <c r="H352" t="s">
        <v>27</v>
      </c>
      <c r="I352">
        <v>20</v>
      </c>
      <c r="J352">
        <v>12</v>
      </c>
      <c r="K352">
        <v>2.6</v>
      </c>
      <c r="M352">
        <v>0.59</v>
      </c>
      <c r="P352">
        <v>90</v>
      </c>
      <c r="Q352">
        <v>130</v>
      </c>
      <c r="S352">
        <v>0.4</v>
      </c>
      <c r="T352">
        <v>1.4</v>
      </c>
      <c r="U352">
        <v>3.6</v>
      </c>
      <c r="V352">
        <v>7.4</v>
      </c>
      <c r="W352">
        <v>278</v>
      </c>
      <c r="X352">
        <v>10</v>
      </c>
      <c r="Y352" t="s">
        <v>183</v>
      </c>
    </row>
    <row r="353" spans="1:25">
      <c r="A353" t="s">
        <v>991</v>
      </c>
      <c r="B353" s="2" t="str">
        <f>Hyperlink("https://www.diodes.com/datasheet/download/DMN2046UW.pdf")</f>
        <v>https://www.diodes.com/datasheet/download/DMN2046UW.pdf</v>
      </c>
      <c r="C353" t="str">
        <f>Hyperlink("https://www.diodes.com/part/view/DMN2046UW","DMN2046UW")</f>
        <v>DMN2046UW</v>
      </c>
      <c r="D353" t="s">
        <v>888</v>
      </c>
      <c r="E353" t="s">
        <v>30</v>
      </c>
      <c r="F353" t="s">
        <v>28</v>
      </c>
      <c r="G353" t="s">
        <v>29</v>
      </c>
      <c r="H353" t="s">
        <v>27</v>
      </c>
      <c r="I353">
        <v>20</v>
      </c>
      <c r="J353">
        <v>12</v>
      </c>
      <c r="K353">
        <v>2.1</v>
      </c>
      <c r="M353">
        <v>0.63</v>
      </c>
      <c r="P353">
        <v>90</v>
      </c>
      <c r="Q353">
        <v>130</v>
      </c>
      <c r="S353">
        <v>0.4</v>
      </c>
      <c r="T353">
        <v>1.4</v>
      </c>
      <c r="U353">
        <v>3.6</v>
      </c>
      <c r="W353">
        <v>278</v>
      </c>
      <c r="X353">
        <v>10</v>
      </c>
      <c r="Y353" t="s">
        <v>92</v>
      </c>
    </row>
    <row r="354" spans="1:25">
      <c r="A354" t="s">
        <v>992</v>
      </c>
      <c r="B354" s="2" t="str">
        <f>Hyperlink("https://www.diodes.com/datasheet/download/DMN2050L.pdf")</f>
        <v>https://www.diodes.com/datasheet/download/DMN2050L.pdf</v>
      </c>
      <c r="C354" t="str">
        <f>Hyperlink("https://www.diodes.com/part/view/DMN2050L","DMN2050L")</f>
        <v>DMN2050L</v>
      </c>
      <c r="D354" t="s">
        <v>26</v>
      </c>
      <c r="E354" t="s">
        <v>27</v>
      </c>
      <c r="F354" t="s">
        <v>28</v>
      </c>
      <c r="G354" t="s">
        <v>29</v>
      </c>
      <c r="H354" t="s">
        <v>30</v>
      </c>
      <c r="I354">
        <v>20</v>
      </c>
      <c r="J354">
        <v>12</v>
      </c>
      <c r="K354">
        <v>5.9</v>
      </c>
      <c r="M354">
        <v>1.4</v>
      </c>
      <c r="P354">
        <v>29</v>
      </c>
      <c r="Q354">
        <v>50</v>
      </c>
      <c r="S354">
        <v>0.45</v>
      </c>
      <c r="T354">
        <v>1.4</v>
      </c>
      <c r="V354">
        <v>6.7</v>
      </c>
      <c r="W354">
        <v>532</v>
      </c>
      <c r="Y354" t="s">
        <v>35</v>
      </c>
    </row>
    <row r="355" spans="1:25">
      <c r="A355" t="s">
        <v>993</v>
      </c>
      <c r="B355" s="2" t="str">
        <f>Hyperlink("https://www.diodes.com/datasheet/download/DMN2050LFDB.pdf")</f>
        <v>https://www.diodes.com/datasheet/download/DMN2050LFDB.pdf</v>
      </c>
      <c r="C355" t="str">
        <f>Hyperlink("https://www.diodes.com/part/view/DMN2050LFDB","DMN2050LFDB")</f>
        <v>DMN2050LFDB</v>
      </c>
      <c r="D355" t="s">
        <v>39</v>
      </c>
      <c r="E355" t="s">
        <v>27</v>
      </c>
      <c r="F355" t="s">
        <v>28</v>
      </c>
      <c r="G355" t="s">
        <v>40</v>
      </c>
      <c r="H355" t="s">
        <v>30</v>
      </c>
      <c r="I355">
        <v>20</v>
      </c>
      <c r="J355">
        <v>12</v>
      </c>
      <c r="K355">
        <v>4.5</v>
      </c>
      <c r="M355">
        <v>1.42</v>
      </c>
      <c r="P355">
        <v>45</v>
      </c>
      <c r="Q355">
        <v>55</v>
      </c>
      <c r="S355">
        <v>0.4</v>
      </c>
      <c r="T355">
        <v>1</v>
      </c>
      <c r="U355">
        <v>5.7</v>
      </c>
      <c r="V355">
        <v>12</v>
      </c>
      <c r="W355">
        <v>389</v>
      </c>
      <c r="Y355" t="s">
        <v>179</v>
      </c>
    </row>
    <row r="356" spans="1:25">
      <c r="A356" t="s">
        <v>994</v>
      </c>
      <c r="B356" s="2" t="str">
        <f>Hyperlink("https://www.diodes.com/datasheet/download/DMN2050LQ.pdf")</f>
        <v>https://www.diodes.com/datasheet/download/DMN2050LQ.pdf</v>
      </c>
      <c r="C356" t="str">
        <f>Hyperlink("https://www.diodes.com/part/view/DMN2050LQ","DMN2050LQ")</f>
        <v>DMN2050LQ</v>
      </c>
      <c r="D356" t="s">
        <v>26</v>
      </c>
      <c r="E356" t="s">
        <v>27</v>
      </c>
      <c r="F356" t="s">
        <v>37</v>
      </c>
      <c r="G356" t="s">
        <v>29</v>
      </c>
      <c r="H356" t="s">
        <v>30</v>
      </c>
      <c r="I356">
        <v>20</v>
      </c>
      <c r="J356">
        <v>12</v>
      </c>
      <c r="K356">
        <v>5.9</v>
      </c>
      <c r="M356">
        <v>1.4</v>
      </c>
      <c r="P356">
        <v>29</v>
      </c>
      <c r="Q356">
        <v>50</v>
      </c>
      <c r="S356">
        <v>0.45</v>
      </c>
      <c r="T356">
        <v>1.4</v>
      </c>
      <c r="V356">
        <v>6.7</v>
      </c>
      <c r="W356">
        <v>532</v>
      </c>
      <c r="X356">
        <v>10</v>
      </c>
      <c r="Y356" t="s">
        <v>35</v>
      </c>
    </row>
    <row r="357" spans="1:25">
      <c r="A357" t="s">
        <v>995</v>
      </c>
      <c r="B357" s="2" t="str">
        <f>Hyperlink("https://www.diodes.com/datasheet/download/DMN2053U.pdf")</f>
        <v>https://www.diodes.com/datasheet/download/DMN2053U.pdf</v>
      </c>
      <c r="C357" t="str">
        <f>Hyperlink("https://www.diodes.com/part/view/DMN2053U","DMN2053U")</f>
        <v>DMN2053U</v>
      </c>
      <c r="D357" t="s">
        <v>39</v>
      </c>
      <c r="E357" t="s">
        <v>30</v>
      </c>
      <c r="F357" t="s">
        <v>28</v>
      </c>
      <c r="G357" t="s">
        <v>29</v>
      </c>
      <c r="H357" t="s">
        <v>30</v>
      </c>
      <c r="I357">
        <v>20</v>
      </c>
      <c r="J357">
        <v>12</v>
      </c>
      <c r="K357">
        <v>6.5</v>
      </c>
      <c r="M357">
        <v>1.3</v>
      </c>
      <c r="O357">
        <v>29</v>
      </c>
      <c r="P357">
        <v>35</v>
      </c>
      <c r="Q357">
        <v>48</v>
      </c>
      <c r="R357">
        <v>91</v>
      </c>
      <c r="S357">
        <v>0.5</v>
      </c>
      <c r="T357">
        <v>1.2</v>
      </c>
      <c r="U357">
        <v>4.6</v>
      </c>
      <c r="W357">
        <v>414</v>
      </c>
      <c r="X357">
        <v>10</v>
      </c>
      <c r="Y357" t="s">
        <v>35</v>
      </c>
    </row>
    <row r="358" spans="1:25">
      <c r="A358" t="s">
        <v>996</v>
      </c>
      <c r="B358" s="2" t="str">
        <f>Hyperlink("https://www.diodes.com/datasheet/download/DMN2053UFDB.pdf")</f>
        <v>https://www.diodes.com/datasheet/download/DMN2053UFDB.pdf</v>
      </c>
      <c r="C358" t="str">
        <f>Hyperlink("https://www.diodes.com/part/view/DMN2053UFDB","DMN2053UFDB")</f>
        <v>DMN2053UFDB</v>
      </c>
      <c r="D358" t="s">
        <v>39</v>
      </c>
      <c r="E358" t="s">
        <v>30</v>
      </c>
      <c r="F358" t="s">
        <v>28</v>
      </c>
      <c r="G358" t="s">
        <v>40</v>
      </c>
      <c r="H358" t="s">
        <v>30</v>
      </c>
      <c r="I358">
        <v>20</v>
      </c>
      <c r="J358">
        <v>12</v>
      </c>
      <c r="K358">
        <v>4.6</v>
      </c>
      <c r="M358">
        <v>1.1</v>
      </c>
      <c r="P358">
        <v>35</v>
      </c>
      <c r="Q358">
        <v>43</v>
      </c>
      <c r="R358">
        <v>56</v>
      </c>
      <c r="T358">
        <v>1</v>
      </c>
      <c r="U358">
        <v>3.6</v>
      </c>
      <c r="Y358" t="s">
        <v>179</v>
      </c>
    </row>
    <row r="359" spans="1:25">
      <c r="A359" t="s">
        <v>997</v>
      </c>
      <c r="B359" s="2" t="str">
        <f>Hyperlink("https://www.diodes.com/datasheet/download/DMN2053UFDBQ.pdf")</f>
        <v>https://www.diodes.com/datasheet/download/DMN2053UFDBQ.pdf</v>
      </c>
      <c r="C359" t="str">
        <f>Hyperlink("https://www.diodes.com/part/view/DMN2053UFDBQ","DMN2053UFDBQ")</f>
        <v>DMN2053UFDBQ</v>
      </c>
      <c r="D359" t="s">
        <v>39</v>
      </c>
      <c r="E359" t="s">
        <v>27</v>
      </c>
      <c r="F359" t="s">
        <v>37</v>
      </c>
      <c r="G359" t="s">
        <v>40</v>
      </c>
      <c r="H359" t="s">
        <v>30</v>
      </c>
      <c r="I359">
        <v>20</v>
      </c>
      <c r="J359">
        <v>12</v>
      </c>
      <c r="K359">
        <v>4.6</v>
      </c>
      <c r="M359">
        <v>1.1</v>
      </c>
      <c r="P359">
        <v>35</v>
      </c>
      <c r="Q359">
        <v>43</v>
      </c>
      <c r="R359">
        <v>56</v>
      </c>
      <c r="T359">
        <v>1</v>
      </c>
      <c r="U359">
        <v>3.6</v>
      </c>
      <c r="Y359" t="s">
        <v>179</v>
      </c>
    </row>
    <row r="360" spans="1:25">
      <c r="A360" t="s">
        <v>998</v>
      </c>
      <c r="B360" s="2" t="str">
        <f>Hyperlink("https://www.diodes.com/datasheet/download/DMN2053UQ.pdf")</f>
        <v>https://www.diodes.com/datasheet/download/DMN2053UQ.pdf</v>
      </c>
      <c r="C360" t="str">
        <f>Hyperlink("https://www.diodes.com/part/view/DMN2053UQ","DMN2053UQ")</f>
        <v>DMN2053UQ</v>
      </c>
      <c r="D360" t="s">
        <v>26</v>
      </c>
      <c r="E360" t="s">
        <v>27</v>
      </c>
      <c r="F360" t="s">
        <v>37</v>
      </c>
      <c r="G360" t="s">
        <v>29</v>
      </c>
      <c r="H360" t="s">
        <v>30</v>
      </c>
      <c r="I360">
        <v>20</v>
      </c>
      <c r="J360">
        <v>12</v>
      </c>
      <c r="K360">
        <v>6.5</v>
      </c>
      <c r="M360">
        <v>1.3</v>
      </c>
      <c r="O360">
        <v>29</v>
      </c>
      <c r="P360">
        <v>35</v>
      </c>
      <c r="Q360">
        <v>48</v>
      </c>
      <c r="R360">
        <v>91</v>
      </c>
      <c r="S360">
        <v>0.5</v>
      </c>
      <c r="T360">
        <v>1.2</v>
      </c>
      <c r="U360">
        <v>4.6</v>
      </c>
      <c r="W360">
        <v>414</v>
      </c>
      <c r="X360">
        <v>10</v>
      </c>
      <c r="Y360" t="s">
        <v>35</v>
      </c>
    </row>
    <row r="361" spans="1:25">
      <c r="A361" t="s">
        <v>999</v>
      </c>
      <c r="B361" s="2" t="str">
        <f>Hyperlink("https://www.diodes.com/datasheet/download/DMN2053UVT.pdf")</f>
        <v>https://www.diodes.com/datasheet/download/DMN2053UVT.pdf</v>
      </c>
      <c r="C361" t="str">
        <f>Hyperlink("https://www.diodes.com/part/view/DMN2053UVT","DMN2053UVT")</f>
        <v>DMN2053UVT</v>
      </c>
      <c r="D361" t="s">
        <v>1000</v>
      </c>
      <c r="E361" t="s">
        <v>30</v>
      </c>
      <c r="F361" t="s">
        <v>28</v>
      </c>
      <c r="G361" t="s">
        <v>40</v>
      </c>
      <c r="H361" t="s">
        <v>30</v>
      </c>
      <c r="I361">
        <v>20</v>
      </c>
      <c r="J361">
        <v>12</v>
      </c>
      <c r="K361">
        <v>4.6</v>
      </c>
      <c r="M361">
        <v>1.1</v>
      </c>
      <c r="P361">
        <v>35</v>
      </c>
      <c r="Q361">
        <v>43</v>
      </c>
      <c r="R361">
        <v>56</v>
      </c>
      <c r="S361">
        <v>0.4</v>
      </c>
      <c r="T361">
        <v>1</v>
      </c>
      <c r="U361">
        <v>3.6</v>
      </c>
      <c r="W361">
        <v>369</v>
      </c>
      <c r="X361">
        <v>10</v>
      </c>
      <c r="Y361" t="s">
        <v>183</v>
      </c>
    </row>
    <row r="362" spans="1:25">
      <c r="A362" t="s">
        <v>1001</v>
      </c>
      <c r="B362" s="2" t="str">
        <f>Hyperlink("https://www.diodes.com/datasheet/download/DMN2053UVTQ.pdf")</f>
        <v>https://www.diodes.com/datasheet/download/DMN2053UVTQ.pdf</v>
      </c>
      <c r="C362" t="str">
        <f>Hyperlink("https://www.diodes.com/part/view/DMN2053UVTQ","DMN2053UVTQ")</f>
        <v>DMN2053UVTQ</v>
      </c>
      <c r="D362" t="s">
        <v>39</v>
      </c>
      <c r="E362" t="s">
        <v>27</v>
      </c>
      <c r="F362" t="s">
        <v>37</v>
      </c>
      <c r="G362" t="s">
        <v>40</v>
      </c>
      <c r="H362" t="s">
        <v>30</v>
      </c>
      <c r="I362">
        <v>20</v>
      </c>
      <c r="J362">
        <v>12</v>
      </c>
      <c r="K362">
        <v>4.6</v>
      </c>
      <c r="M362">
        <v>1.1</v>
      </c>
      <c r="P362">
        <v>35</v>
      </c>
      <c r="Q362">
        <v>43</v>
      </c>
      <c r="R362">
        <v>56</v>
      </c>
      <c r="S362">
        <v>0.4</v>
      </c>
      <c r="T362">
        <v>1</v>
      </c>
      <c r="U362">
        <v>3.6</v>
      </c>
      <c r="W362">
        <v>369</v>
      </c>
      <c r="X362">
        <v>10</v>
      </c>
      <c r="Y362" t="s">
        <v>183</v>
      </c>
    </row>
    <row r="363" spans="1:25">
      <c r="A363" t="s">
        <v>1002</v>
      </c>
      <c r="B363" s="2" t="str">
        <f>Hyperlink("https://www.diodes.com/datasheet/download/DMN2053UW.pdf")</f>
        <v>https://www.diodes.com/datasheet/download/DMN2053UW.pdf</v>
      </c>
      <c r="C363" t="str">
        <f>Hyperlink("https://www.diodes.com/part/view/DMN2053UW","DMN2053UW")</f>
        <v>DMN2053UW</v>
      </c>
      <c r="D363" t="s">
        <v>905</v>
      </c>
      <c r="E363" t="s">
        <v>30</v>
      </c>
      <c r="F363" t="s">
        <v>28</v>
      </c>
      <c r="G363" t="s">
        <v>29</v>
      </c>
      <c r="H363" t="s">
        <v>30</v>
      </c>
      <c r="I363">
        <v>20</v>
      </c>
      <c r="J363">
        <v>12</v>
      </c>
      <c r="K363">
        <v>2.9</v>
      </c>
      <c r="M363">
        <v>0.7</v>
      </c>
      <c r="P363">
        <v>56</v>
      </c>
      <c r="Q363">
        <v>65</v>
      </c>
      <c r="R363">
        <v>93</v>
      </c>
      <c r="S363">
        <v>0.35</v>
      </c>
      <c r="T363">
        <v>1</v>
      </c>
      <c r="U363">
        <v>3.6</v>
      </c>
      <c r="W363">
        <v>369</v>
      </c>
      <c r="X363">
        <v>10</v>
      </c>
      <c r="Y363" t="s">
        <v>92</v>
      </c>
    </row>
    <row r="364" spans="1:25">
      <c r="A364" t="s">
        <v>1003</v>
      </c>
      <c r="B364" s="2" t="str">
        <f>Hyperlink("https://www.diodes.com/datasheet/download/DMN2053UWQ.pdf")</f>
        <v>https://www.diodes.com/datasheet/download/DMN2053UWQ.pdf</v>
      </c>
      <c r="C364" t="str">
        <f>Hyperlink("https://www.diodes.com/part/view/DMN2053UWQ","DMN2053UWQ")</f>
        <v>DMN2053UWQ</v>
      </c>
      <c r="D364" t="s">
        <v>905</v>
      </c>
      <c r="E364" t="s">
        <v>27</v>
      </c>
      <c r="F364" t="s">
        <v>37</v>
      </c>
      <c r="G364" t="s">
        <v>29</v>
      </c>
      <c r="H364" t="s">
        <v>30</v>
      </c>
      <c r="I364">
        <v>20</v>
      </c>
      <c r="J364">
        <v>12</v>
      </c>
      <c r="K364">
        <v>2.9</v>
      </c>
      <c r="M364">
        <v>0.7</v>
      </c>
      <c r="P364">
        <v>56</v>
      </c>
      <c r="Q364">
        <v>65</v>
      </c>
      <c r="R364">
        <v>93</v>
      </c>
      <c r="S364">
        <v>0.35</v>
      </c>
      <c r="T364">
        <v>1</v>
      </c>
      <c r="U364">
        <v>3.6</v>
      </c>
      <c r="W364">
        <v>369</v>
      </c>
      <c r="X364">
        <v>10</v>
      </c>
      <c r="Y364" t="s">
        <v>92</v>
      </c>
    </row>
    <row r="365" spans="1:25">
      <c r="A365" t="s">
        <v>1004</v>
      </c>
      <c r="B365" s="2" t="str">
        <f>Hyperlink("https://www.diodes.com/datasheet/download/DMN2055U.pdf")</f>
        <v>https://www.diodes.com/datasheet/download/DMN2055U.pdf</v>
      </c>
      <c r="C365" t="str">
        <f>Hyperlink("https://www.diodes.com/part/view/DMN2055U","DMN2055U")</f>
        <v>DMN2055U</v>
      </c>
      <c r="D365" t="s">
        <v>26</v>
      </c>
      <c r="E365" t="s">
        <v>30</v>
      </c>
      <c r="F365" t="s">
        <v>28</v>
      </c>
      <c r="G365" t="s">
        <v>29</v>
      </c>
      <c r="H365" t="s">
        <v>30</v>
      </c>
      <c r="I365">
        <v>20</v>
      </c>
      <c r="J365">
        <v>8</v>
      </c>
      <c r="K365">
        <v>4.8</v>
      </c>
      <c r="M365">
        <v>1.2</v>
      </c>
      <c r="P365">
        <v>38</v>
      </c>
      <c r="Q365">
        <v>45</v>
      </c>
      <c r="S365">
        <v>0.4</v>
      </c>
      <c r="T365">
        <v>1</v>
      </c>
      <c r="U365">
        <v>4.3</v>
      </c>
      <c r="W365">
        <v>400</v>
      </c>
      <c r="X365">
        <v>10</v>
      </c>
      <c r="Y365" t="s">
        <v>35</v>
      </c>
    </row>
    <row r="366" spans="1:25">
      <c r="A366" t="s">
        <v>1005</v>
      </c>
      <c r="B366" s="2" t="str">
        <f>Hyperlink("https://www.diodes.com/datasheet/download/DMN2055UQ.pdf")</f>
        <v>https://www.diodes.com/datasheet/download/DMN2055UQ.pdf</v>
      </c>
      <c r="C366" t="str">
        <f>Hyperlink("https://www.diodes.com/part/view/DMN2055UQ","DMN2055UQ")</f>
        <v>DMN2055UQ</v>
      </c>
      <c r="D366" t="s">
        <v>26</v>
      </c>
      <c r="E366" t="s">
        <v>27</v>
      </c>
      <c r="F366" t="s">
        <v>37</v>
      </c>
      <c r="G366" t="s">
        <v>29</v>
      </c>
      <c r="H366" t="s">
        <v>30</v>
      </c>
      <c r="I366">
        <v>20</v>
      </c>
      <c r="J366">
        <v>8</v>
      </c>
      <c r="K366">
        <v>4.8</v>
      </c>
      <c r="M366">
        <v>1.2</v>
      </c>
      <c r="P366">
        <v>38</v>
      </c>
      <c r="Q366">
        <v>45</v>
      </c>
      <c r="S366">
        <v>0.4</v>
      </c>
      <c r="T366">
        <v>1</v>
      </c>
      <c r="U366">
        <v>4.3</v>
      </c>
      <c r="W366">
        <v>400</v>
      </c>
      <c r="X366">
        <v>10</v>
      </c>
      <c r="Y366" t="s">
        <v>35</v>
      </c>
    </row>
    <row r="367" spans="1:25">
      <c r="A367" t="s">
        <v>1006</v>
      </c>
      <c r="B367" s="2" t="str">
        <f>Hyperlink("https://www.diodes.com/datasheet/download/DMN2055UW.pdf")</f>
        <v>https://www.diodes.com/datasheet/download/DMN2055UW.pdf</v>
      </c>
      <c r="C367" t="str">
        <f>Hyperlink("https://www.diodes.com/part/view/DMN2055UW","DMN2055UW")</f>
        <v>DMN2055UW</v>
      </c>
      <c r="D367" t="s">
        <v>26</v>
      </c>
      <c r="E367" t="s">
        <v>30</v>
      </c>
      <c r="F367" t="s">
        <v>28</v>
      </c>
      <c r="G367" t="s">
        <v>29</v>
      </c>
      <c r="H367" t="s">
        <v>30</v>
      </c>
      <c r="I367">
        <v>20</v>
      </c>
      <c r="J367">
        <v>8</v>
      </c>
      <c r="K367">
        <v>3.1</v>
      </c>
      <c r="M367">
        <v>0.65</v>
      </c>
      <c r="P367">
        <v>46</v>
      </c>
      <c r="Q367">
        <v>53</v>
      </c>
      <c r="S367">
        <v>0.4</v>
      </c>
      <c r="T367">
        <v>1</v>
      </c>
      <c r="U367">
        <v>4.3</v>
      </c>
      <c r="W367">
        <v>400</v>
      </c>
      <c r="X367">
        <v>10</v>
      </c>
      <c r="Y367" t="s">
        <v>92</v>
      </c>
    </row>
    <row r="368" spans="1:25">
      <c r="A368" t="s">
        <v>1007</v>
      </c>
      <c r="B368" s="2" t="str">
        <f>Hyperlink("https://www.diodes.com/datasheet/download/DMN2055UWQ.pdf")</f>
        <v>https://www.diodes.com/datasheet/download/DMN2055UWQ.pdf</v>
      </c>
      <c r="C368" t="str">
        <f>Hyperlink("https://www.diodes.com/part/view/DMN2055UWQ","DMN2055UWQ")</f>
        <v>DMN2055UWQ</v>
      </c>
      <c r="D368" t="s">
        <v>26</v>
      </c>
      <c r="E368" t="s">
        <v>27</v>
      </c>
      <c r="F368" t="s">
        <v>37</v>
      </c>
      <c r="G368" t="s">
        <v>29</v>
      </c>
      <c r="H368" t="s">
        <v>30</v>
      </c>
      <c r="I368">
        <v>20</v>
      </c>
      <c r="J368">
        <v>8</v>
      </c>
      <c r="K368">
        <v>3.1</v>
      </c>
      <c r="M368">
        <v>0.65</v>
      </c>
      <c r="P368">
        <v>46</v>
      </c>
      <c r="Q368">
        <v>53</v>
      </c>
      <c r="S368">
        <v>0.4</v>
      </c>
      <c r="T368">
        <v>1</v>
      </c>
      <c r="U368">
        <v>4.3</v>
      </c>
      <c r="W368">
        <v>400</v>
      </c>
      <c r="X368">
        <v>10</v>
      </c>
      <c r="Y368" t="s">
        <v>92</v>
      </c>
    </row>
    <row r="369" spans="1:25">
      <c r="A369" t="s">
        <v>1008</v>
      </c>
      <c r="B369" s="2" t="str">
        <f>Hyperlink("https://www.diodes.com/datasheet/download/DMN2056U.pdf")</f>
        <v>https://www.diodes.com/datasheet/download/DMN2056U.pdf</v>
      </c>
      <c r="C369" t="str">
        <f>Hyperlink("https://www.diodes.com/part/view/DMN2056U","DMN2056U")</f>
        <v>DMN2056U</v>
      </c>
      <c r="D369" t="s">
        <v>905</v>
      </c>
      <c r="E369" t="s">
        <v>27</v>
      </c>
      <c r="F369" t="s">
        <v>28</v>
      </c>
      <c r="G369" t="s">
        <v>29</v>
      </c>
      <c r="H369" t="s">
        <v>30</v>
      </c>
      <c r="I369">
        <v>20</v>
      </c>
      <c r="J369">
        <v>8</v>
      </c>
      <c r="K369">
        <v>4</v>
      </c>
      <c r="M369">
        <v>0.94</v>
      </c>
      <c r="P369">
        <v>38</v>
      </c>
      <c r="Q369">
        <v>45</v>
      </c>
      <c r="R369">
        <v>85</v>
      </c>
      <c r="S369">
        <v>0.4</v>
      </c>
      <c r="T369">
        <v>1</v>
      </c>
      <c r="U369">
        <v>4.3</v>
      </c>
      <c r="W369">
        <v>339</v>
      </c>
      <c r="X369">
        <v>10</v>
      </c>
      <c r="Y369" t="s">
        <v>35</v>
      </c>
    </row>
    <row r="370" spans="1:25">
      <c r="A370" t="s">
        <v>1009</v>
      </c>
      <c r="B370" s="2" t="str">
        <f>Hyperlink("https://www.diodes.com/datasheet/download/DMN2058U.pdf")</f>
        <v>https://www.diodes.com/datasheet/download/DMN2058U.pdf</v>
      </c>
      <c r="C370" t="str">
        <f>Hyperlink("https://www.diodes.com/part/view/DMN2058U","DMN2058U")</f>
        <v>DMN2058U</v>
      </c>
      <c r="D370" t="s">
        <v>905</v>
      </c>
      <c r="E370" t="s">
        <v>27</v>
      </c>
      <c r="F370" t="s">
        <v>28</v>
      </c>
      <c r="G370" t="s">
        <v>29</v>
      </c>
      <c r="H370" t="s">
        <v>30</v>
      </c>
      <c r="I370">
        <v>20</v>
      </c>
      <c r="J370">
        <v>12</v>
      </c>
      <c r="K370">
        <v>4.6</v>
      </c>
      <c r="M370">
        <v>1.13</v>
      </c>
      <c r="O370">
        <v>35</v>
      </c>
      <c r="P370">
        <v>40</v>
      </c>
      <c r="Q370">
        <v>60</v>
      </c>
      <c r="R370">
        <v>91</v>
      </c>
      <c r="S370">
        <v>0.4</v>
      </c>
      <c r="T370">
        <v>1.2</v>
      </c>
      <c r="U370">
        <v>3.6</v>
      </c>
      <c r="V370">
        <v>7.7</v>
      </c>
      <c r="W370">
        <v>281</v>
      </c>
      <c r="X370">
        <v>10</v>
      </c>
      <c r="Y370" t="s">
        <v>35</v>
      </c>
    </row>
    <row r="371" spans="1:25">
      <c r="A371" t="s">
        <v>1010</v>
      </c>
      <c r="B371" s="2" t="str">
        <f>Hyperlink("https://www.diodes.com/datasheet/download/DMN2058UW.pdf")</f>
        <v>https://www.diodes.com/datasheet/download/DMN2058UW.pdf</v>
      </c>
      <c r="C371" t="str">
        <f>Hyperlink("https://www.diodes.com/part/view/DMN2058UW","DMN2058UW")</f>
        <v>DMN2058UW</v>
      </c>
      <c r="D371" t="s">
        <v>26</v>
      </c>
      <c r="E371" t="s">
        <v>30</v>
      </c>
      <c r="F371" t="s">
        <v>28</v>
      </c>
      <c r="G371" t="s">
        <v>29</v>
      </c>
      <c r="H371" t="s">
        <v>30</v>
      </c>
      <c r="I371">
        <v>20</v>
      </c>
      <c r="J371">
        <v>12</v>
      </c>
      <c r="K371">
        <v>3.5</v>
      </c>
      <c r="M371">
        <v>0.7</v>
      </c>
      <c r="O371">
        <v>42</v>
      </c>
      <c r="P371">
        <v>45</v>
      </c>
      <c r="Q371">
        <v>60</v>
      </c>
      <c r="R371">
        <v>91</v>
      </c>
      <c r="S371">
        <v>0.4</v>
      </c>
      <c r="T371">
        <v>1.2</v>
      </c>
      <c r="U371">
        <v>3.6</v>
      </c>
      <c r="V371">
        <v>7.7</v>
      </c>
      <c r="W371">
        <v>281</v>
      </c>
      <c r="X371">
        <v>10</v>
      </c>
      <c r="Y371" t="s">
        <v>92</v>
      </c>
    </row>
    <row r="372" spans="1:25">
      <c r="A372" t="s">
        <v>1011</v>
      </c>
      <c r="B372" s="2" t="str">
        <f>Hyperlink("https://www.diodes.com/datasheet/download/DMN2075U.pdf")</f>
        <v>https://www.diodes.com/datasheet/download/DMN2075U.pdf</v>
      </c>
      <c r="C372" t="str">
        <f>Hyperlink("https://www.diodes.com/part/view/DMN2075U","DMN2075U")</f>
        <v>DMN2075U</v>
      </c>
      <c r="D372" t="s">
        <v>26</v>
      </c>
      <c r="E372" t="s">
        <v>27</v>
      </c>
      <c r="F372" t="s">
        <v>28</v>
      </c>
      <c r="G372" t="s">
        <v>29</v>
      </c>
      <c r="H372" t="s">
        <v>30</v>
      </c>
      <c r="I372">
        <v>20</v>
      </c>
      <c r="J372">
        <v>8</v>
      </c>
      <c r="K372">
        <v>4.2</v>
      </c>
      <c r="M372">
        <v>0.8</v>
      </c>
      <c r="P372">
        <v>38</v>
      </c>
      <c r="Q372">
        <v>45</v>
      </c>
      <c r="S372">
        <v>0.4</v>
      </c>
      <c r="T372">
        <v>1</v>
      </c>
      <c r="U372">
        <v>7</v>
      </c>
      <c r="W372">
        <v>594</v>
      </c>
      <c r="Y372" t="s">
        <v>35</v>
      </c>
    </row>
    <row r="373" spans="1:25">
      <c r="A373" t="s">
        <v>1012</v>
      </c>
      <c r="B373" s="2" t="str">
        <f>Hyperlink("https://www.diodes.com/datasheet/download/DMN2075UDW.pdf")</f>
        <v>https://www.diodes.com/datasheet/download/DMN2075UDW.pdf</v>
      </c>
      <c r="C373" t="str">
        <f>Hyperlink("https://www.diodes.com/part/view/DMN2075UDW","DMN2075UDW")</f>
        <v>DMN2075UDW</v>
      </c>
      <c r="D373" t="s">
        <v>26</v>
      </c>
      <c r="E373" t="s">
        <v>27</v>
      </c>
      <c r="F373" t="s">
        <v>28</v>
      </c>
      <c r="G373" t="s">
        <v>29</v>
      </c>
      <c r="H373" t="s">
        <v>30</v>
      </c>
      <c r="I373">
        <v>20</v>
      </c>
      <c r="J373">
        <v>8</v>
      </c>
      <c r="K373">
        <v>2.8</v>
      </c>
      <c r="M373">
        <v>0.58</v>
      </c>
      <c r="P373">
        <v>48</v>
      </c>
      <c r="Q373">
        <v>59</v>
      </c>
      <c r="R373">
        <v>70</v>
      </c>
      <c r="S373">
        <v>0.4</v>
      </c>
      <c r="T373">
        <v>1</v>
      </c>
      <c r="U373">
        <v>7</v>
      </c>
      <c r="W373">
        <v>594</v>
      </c>
      <c r="Y373" t="s">
        <v>42</v>
      </c>
    </row>
    <row r="374" spans="1:25">
      <c r="A374" t="s">
        <v>1013</v>
      </c>
      <c r="B374" s="2" t="str">
        <f>Hyperlink("https://www.diodes.com/datasheet/download/DMN2080UCB4.pdf")</f>
        <v>https://www.diodes.com/datasheet/download/DMN2080UCB4.pdf</v>
      </c>
      <c r="C374" t="str">
        <f>Hyperlink("https://www.diodes.com/part/view/DMN2080UCB4","DMN2080UCB4")</f>
        <v>DMN2080UCB4</v>
      </c>
      <c r="D374" t="s">
        <v>26</v>
      </c>
      <c r="E374" t="s">
        <v>30</v>
      </c>
      <c r="F374" t="s">
        <v>28</v>
      </c>
      <c r="G374" t="s">
        <v>29</v>
      </c>
      <c r="H374" t="s">
        <v>27</v>
      </c>
      <c r="I374">
        <v>20</v>
      </c>
      <c r="J374">
        <v>8</v>
      </c>
      <c r="K374">
        <v>4</v>
      </c>
      <c r="M374">
        <v>1.25</v>
      </c>
      <c r="P374">
        <v>56</v>
      </c>
      <c r="Q374">
        <v>68</v>
      </c>
      <c r="R374">
        <v>90</v>
      </c>
      <c r="S374">
        <v>0.4</v>
      </c>
      <c r="T374">
        <v>1</v>
      </c>
      <c r="U374">
        <v>7.4</v>
      </c>
      <c r="W374">
        <v>540</v>
      </c>
      <c r="X374">
        <v>10</v>
      </c>
      <c r="Y374" t="s">
        <v>1014</v>
      </c>
    </row>
    <row r="375" spans="1:25">
      <c r="A375" t="s">
        <v>1015</v>
      </c>
      <c r="B375" s="2" t="str">
        <f>Hyperlink("https://www.diodes.com/datasheet/download/DMN2100UDM.pdf")</f>
        <v>https://www.diodes.com/datasheet/download/DMN2100UDM.pdf</v>
      </c>
      <c r="C375" t="str">
        <f>Hyperlink("https://www.diodes.com/part/view/DMN2100UDM","DMN2100UDM")</f>
        <v>DMN2100UDM</v>
      </c>
      <c r="D375" t="s">
        <v>26</v>
      </c>
      <c r="E375" t="s">
        <v>27</v>
      </c>
      <c r="F375" t="s">
        <v>28</v>
      </c>
      <c r="G375" t="s">
        <v>29</v>
      </c>
      <c r="H375" t="s">
        <v>27</v>
      </c>
      <c r="I375">
        <v>20</v>
      </c>
      <c r="J375">
        <v>8</v>
      </c>
      <c r="K375">
        <v>4</v>
      </c>
      <c r="M375">
        <v>1.5</v>
      </c>
      <c r="P375">
        <v>55</v>
      </c>
      <c r="Q375">
        <v>70</v>
      </c>
      <c r="R375">
        <v>90</v>
      </c>
      <c r="S375">
        <v>0.6</v>
      </c>
      <c r="T375">
        <v>1</v>
      </c>
      <c r="U375">
        <v>8.8</v>
      </c>
      <c r="W375">
        <v>555</v>
      </c>
      <c r="Y375" t="s">
        <v>339</v>
      </c>
    </row>
    <row r="376" spans="1:25">
      <c r="A376" t="s">
        <v>1016</v>
      </c>
      <c r="B376" s="2" t="str">
        <f>Hyperlink("https://www.diodes.com/datasheet/download/DMN2120UFCL.pdf")</f>
        <v>https://www.diodes.com/datasheet/download/DMN2120UFCL.pdf</v>
      </c>
      <c r="C376" t="str">
        <f>Hyperlink("https://www.diodes.com/part/view/DMN2120UFCL","DMN2120UFCL")</f>
        <v>DMN2120UFCL</v>
      </c>
      <c r="D376" t="s">
        <v>905</v>
      </c>
      <c r="E376" t="s">
        <v>30</v>
      </c>
      <c r="F376" t="s">
        <v>28</v>
      </c>
      <c r="G376" t="s">
        <v>29</v>
      </c>
      <c r="H376" t="s">
        <v>27</v>
      </c>
      <c r="I376">
        <v>20</v>
      </c>
      <c r="J376">
        <v>12</v>
      </c>
      <c r="K376">
        <v>1.8</v>
      </c>
      <c r="M376">
        <v>1.16</v>
      </c>
      <c r="P376">
        <v>100</v>
      </c>
      <c r="Q376">
        <v>140</v>
      </c>
      <c r="R376">
        <v>200</v>
      </c>
      <c r="S376">
        <v>0.3</v>
      </c>
      <c r="T376">
        <v>1</v>
      </c>
      <c r="U376">
        <v>1.4</v>
      </c>
      <c r="V376">
        <v>2.8</v>
      </c>
      <c r="W376">
        <v>130</v>
      </c>
      <c r="X376">
        <v>10</v>
      </c>
      <c r="Y376" t="s">
        <v>1017</v>
      </c>
    </row>
    <row r="377" spans="1:25">
      <c r="A377" t="s">
        <v>1018</v>
      </c>
      <c r="B377" s="2" t="str">
        <f>Hyperlink("https://www.diodes.com/datasheet/download/DMN21D1UDA.pdf")</f>
        <v>https://www.diodes.com/datasheet/download/DMN21D1UDA.pdf</v>
      </c>
      <c r="C377" t="str">
        <f>Hyperlink("https://www.diodes.com/part/view/DMN21D1UDA","DMN21D1UDA")</f>
        <v>DMN21D1UDA</v>
      </c>
      <c r="D377" t="s">
        <v>1019</v>
      </c>
      <c r="E377" t="s">
        <v>30</v>
      </c>
      <c r="F377" t="s">
        <v>28</v>
      </c>
      <c r="G377" t="s">
        <v>40</v>
      </c>
      <c r="H377" t="s">
        <v>27</v>
      </c>
      <c r="I377">
        <v>20</v>
      </c>
      <c r="J377">
        <v>8</v>
      </c>
      <c r="K377">
        <v>0.455</v>
      </c>
      <c r="M377">
        <v>0.31</v>
      </c>
      <c r="P377">
        <v>990</v>
      </c>
      <c r="Q377">
        <v>1200</v>
      </c>
      <c r="R377">
        <v>1800</v>
      </c>
      <c r="S377">
        <v>0.4</v>
      </c>
      <c r="T377">
        <v>1</v>
      </c>
      <c r="U377">
        <v>0.41</v>
      </c>
      <c r="W377">
        <v>31</v>
      </c>
      <c r="X377">
        <v>15</v>
      </c>
      <c r="Y377" t="s">
        <v>298</v>
      </c>
    </row>
    <row r="378" spans="1:25">
      <c r="A378" t="s">
        <v>1020</v>
      </c>
      <c r="B378" s="2" t="str">
        <f>Hyperlink("https://www.diodes.com/datasheet/download/DMN21D2UFB.pdf")</f>
        <v>https://www.diodes.com/datasheet/download/DMN21D2UFB.pdf</v>
      </c>
      <c r="C378" t="str">
        <f>Hyperlink("https://www.diodes.com/part/view/DMN21D2UFB","DMN21D2UFB")</f>
        <v>DMN21D2UFB</v>
      </c>
      <c r="D378" t="s">
        <v>1019</v>
      </c>
      <c r="E378" t="s">
        <v>27</v>
      </c>
      <c r="F378" t="s">
        <v>28</v>
      </c>
      <c r="G378" t="s">
        <v>29</v>
      </c>
      <c r="H378" t="s">
        <v>27</v>
      </c>
      <c r="I378">
        <v>20</v>
      </c>
      <c r="J378">
        <v>12</v>
      </c>
      <c r="K378">
        <v>0.76</v>
      </c>
      <c r="M378">
        <v>0.9</v>
      </c>
      <c r="P378">
        <v>990</v>
      </c>
      <c r="Q378">
        <v>1200</v>
      </c>
      <c r="R378">
        <v>2400</v>
      </c>
      <c r="S378">
        <v>0.4</v>
      </c>
      <c r="T378">
        <v>1</v>
      </c>
      <c r="U378">
        <v>0.41</v>
      </c>
      <c r="V378">
        <v>0.93</v>
      </c>
      <c r="W378">
        <v>29</v>
      </c>
      <c r="Y378" t="s">
        <v>846</v>
      </c>
    </row>
    <row r="379" spans="1:25">
      <c r="A379" t="s">
        <v>1021</v>
      </c>
      <c r="B379" s="2" t="str">
        <f>Hyperlink("https://www.diodes.com/datasheet/download/DMN2250UFB.pdf")</f>
        <v>https://www.diodes.com/datasheet/download/DMN2250UFB.pdf</v>
      </c>
      <c r="C379" t="str">
        <f>Hyperlink("https://www.diodes.com/part/view/DMN2250UFB","DMN2250UFB")</f>
        <v>DMN2250UFB</v>
      </c>
      <c r="D379" t="s">
        <v>631</v>
      </c>
      <c r="E379" t="s">
        <v>27</v>
      </c>
      <c r="F379" t="s">
        <v>28</v>
      </c>
      <c r="G379" t="s">
        <v>29</v>
      </c>
      <c r="H379" t="s">
        <v>27</v>
      </c>
      <c r="I379">
        <v>20</v>
      </c>
      <c r="J379">
        <v>8</v>
      </c>
      <c r="K379">
        <v>1.35</v>
      </c>
      <c r="M379">
        <v>0.5</v>
      </c>
      <c r="P379">
        <v>170</v>
      </c>
      <c r="Q379">
        <v>230</v>
      </c>
      <c r="R379">
        <v>250</v>
      </c>
      <c r="S379">
        <v>0.35</v>
      </c>
      <c r="T379">
        <v>1</v>
      </c>
      <c r="U379">
        <v>1.4</v>
      </c>
      <c r="V379">
        <v>3.1</v>
      </c>
      <c r="W379">
        <v>100</v>
      </c>
      <c r="Y379" t="s">
        <v>846</v>
      </c>
    </row>
    <row r="380" spans="1:25">
      <c r="A380" t="s">
        <v>1022</v>
      </c>
      <c r="B380" s="2" t="str">
        <f>Hyperlink("https://www.diodes.com/datasheet/download/DMN22M5UCA10.pdf")</f>
        <v>https://www.diodes.com/datasheet/download/DMN22M5UCA10.pdf</v>
      </c>
      <c r="C380" t="str">
        <f>Hyperlink("https://www.diodes.com/part/view/DMN22M5UCA10","DMN22M5UCA10")</f>
        <v>DMN22M5UCA10</v>
      </c>
      <c r="D380" t="s">
        <v>26</v>
      </c>
      <c r="E380" t="s">
        <v>30</v>
      </c>
      <c r="F380" t="s">
        <v>28</v>
      </c>
      <c r="G380" t="s">
        <v>40</v>
      </c>
      <c r="H380" t="s">
        <v>27</v>
      </c>
      <c r="I380">
        <v>24</v>
      </c>
      <c r="J380">
        <v>12</v>
      </c>
      <c r="K380">
        <v>26.5</v>
      </c>
      <c r="M380">
        <v>3.14</v>
      </c>
      <c r="P380">
        <v>4</v>
      </c>
      <c r="Q380">
        <v>7.4</v>
      </c>
      <c r="S380">
        <v>0.4</v>
      </c>
      <c r="T380">
        <v>1.3</v>
      </c>
      <c r="U380">
        <v>40.7</v>
      </c>
      <c r="W380">
        <v>3490</v>
      </c>
      <c r="X380">
        <v>12</v>
      </c>
      <c r="Y380" t="s">
        <v>1023</v>
      </c>
    </row>
    <row r="381" spans="1:25">
      <c r="A381" t="s">
        <v>1024</v>
      </c>
      <c r="B381" s="2" t="str">
        <f>Hyperlink("https://www.diodes.com/datasheet/download/DMN22M5UFG.pdf")</f>
        <v>https://www.diodes.com/datasheet/download/DMN22M5UFG.pdf</v>
      </c>
      <c r="C381" t="str">
        <f>Hyperlink("https://www.diodes.com/part/view/DMN22M5UFG","DMN22M5UFG")</f>
        <v>DMN22M5UFG</v>
      </c>
      <c r="D381" t="s">
        <v>905</v>
      </c>
      <c r="E381" t="s">
        <v>30</v>
      </c>
      <c r="F381" t="s">
        <v>28</v>
      </c>
      <c r="G381" t="s">
        <v>29</v>
      </c>
      <c r="H381" t="s">
        <v>30</v>
      </c>
      <c r="I381">
        <v>20</v>
      </c>
      <c r="J381">
        <v>12</v>
      </c>
      <c r="L381">
        <v>27</v>
      </c>
      <c r="M381">
        <v>2.2</v>
      </c>
      <c r="P381">
        <v>2.0</v>
      </c>
      <c r="Q381">
        <v>2.6</v>
      </c>
      <c r="S381">
        <v>0.5</v>
      </c>
      <c r="T381">
        <v>1.3</v>
      </c>
      <c r="U381">
        <v>53</v>
      </c>
      <c r="V381">
        <v>99</v>
      </c>
      <c r="W381">
        <v>3926</v>
      </c>
      <c r="X381">
        <v>10</v>
      </c>
      <c r="Y381" t="s">
        <v>718</v>
      </c>
    </row>
    <row r="382" spans="1:25">
      <c r="A382" t="s">
        <v>1025</v>
      </c>
      <c r="B382" s="2" t="str">
        <f>Hyperlink("https://www.diodes.com/datasheet/download/DMN2300U.pdf")</f>
        <v>https://www.diodes.com/datasheet/download/DMN2300U.pdf</v>
      </c>
      <c r="C382" t="str">
        <f>Hyperlink("https://www.diodes.com/part/view/DMN2300U","DMN2300U")</f>
        <v>DMN2300U</v>
      </c>
      <c r="D382" t="s">
        <v>631</v>
      </c>
      <c r="E382" t="s">
        <v>27</v>
      </c>
      <c r="F382" t="s">
        <v>28</v>
      </c>
      <c r="G382" t="s">
        <v>29</v>
      </c>
      <c r="H382" t="s">
        <v>27</v>
      </c>
      <c r="I382">
        <v>20</v>
      </c>
      <c r="J382">
        <v>8</v>
      </c>
      <c r="K382">
        <v>1.4</v>
      </c>
      <c r="M382">
        <v>0.55</v>
      </c>
      <c r="P382">
        <v>175</v>
      </c>
      <c r="Q382">
        <v>240</v>
      </c>
      <c r="R382">
        <v>360</v>
      </c>
      <c r="S382">
        <v>0.45</v>
      </c>
      <c r="T382">
        <v>0.95</v>
      </c>
      <c r="U382">
        <v>1.6</v>
      </c>
      <c r="W382">
        <v>70</v>
      </c>
      <c r="Y382" t="s">
        <v>35</v>
      </c>
    </row>
    <row r="383" spans="1:25">
      <c r="A383" t="s">
        <v>1026</v>
      </c>
      <c r="B383" s="2" t="str">
        <f>Hyperlink("https://www.diodes.com/datasheet/download/DMN2300UFB.pdf")</f>
        <v>https://www.diodes.com/datasheet/download/DMN2300UFB.pdf</v>
      </c>
      <c r="C383" t="str">
        <f>Hyperlink("https://www.diodes.com/part/view/DMN2300UFB","DMN2300UFB")</f>
        <v>DMN2300UFB</v>
      </c>
      <c r="D383" t="s">
        <v>631</v>
      </c>
      <c r="E383" t="s">
        <v>27</v>
      </c>
      <c r="F383" t="s">
        <v>28</v>
      </c>
      <c r="G383" t="s">
        <v>29</v>
      </c>
      <c r="H383" t="s">
        <v>27</v>
      </c>
      <c r="I383">
        <v>20</v>
      </c>
      <c r="J383">
        <v>8</v>
      </c>
      <c r="K383">
        <v>1.32</v>
      </c>
      <c r="M383">
        <v>0.47</v>
      </c>
      <c r="P383">
        <v>175</v>
      </c>
      <c r="Q383">
        <v>240</v>
      </c>
      <c r="R383">
        <v>360</v>
      </c>
      <c r="S383">
        <v>0.45</v>
      </c>
      <c r="T383">
        <v>0.95</v>
      </c>
      <c r="U383">
        <v>0.89</v>
      </c>
      <c r="W383">
        <v>70</v>
      </c>
      <c r="Y383" t="s">
        <v>846</v>
      </c>
    </row>
    <row r="384" spans="1:25">
      <c r="A384" t="s">
        <v>1027</v>
      </c>
      <c r="B384" s="2" t="str">
        <f>Hyperlink("https://www.diodes.com/datasheet/download/DMN2300UFB4.pdf")</f>
        <v>https://www.diodes.com/datasheet/download/DMN2300UFB4.pdf</v>
      </c>
      <c r="C384" t="str">
        <f>Hyperlink("https://www.diodes.com/part/view/DMN2300UFB4","DMN2300UFB4")</f>
        <v>DMN2300UFB4</v>
      </c>
      <c r="D384" t="s">
        <v>631</v>
      </c>
      <c r="E384" t="s">
        <v>27</v>
      </c>
      <c r="F384" t="s">
        <v>28</v>
      </c>
      <c r="G384" t="s">
        <v>29</v>
      </c>
      <c r="H384" t="s">
        <v>27</v>
      </c>
      <c r="I384">
        <v>20</v>
      </c>
      <c r="J384">
        <v>8</v>
      </c>
      <c r="K384">
        <v>1.3</v>
      </c>
      <c r="M384">
        <v>0.5</v>
      </c>
      <c r="P384">
        <v>175</v>
      </c>
      <c r="Q384">
        <v>240</v>
      </c>
      <c r="R384">
        <v>360</v>
      </c>
      <c r="S384">
        <v>0.45</v>
      </c>
      <c r="T384">
        <v>0.95</v>
      </c>
      <c r="U384">
        <v>1.6</v>
      </c>
      <c r="W384">
        <v>70</v>
      </c>
      <c r="Y384" t="s">
        <v>901</v>
      </c>
    </row>
    <row r="385" spans="1:25">
      <c r="A385" t="s">
        <v>1028</v>
      </c>
      <c r="B385" s="2" t="str">
        <f>Hyperlink("https://www.diodes.com/datasheet/download/DMN2300UFD.pdf")</f>
        <v>https://www.diodes.com/datasheet/download/DMN2300UFD.pdf</v>
      </c>
      <c r="C385" t="str">
        <f>Hyperlink("https://www.diodes.com/part/view/DMN2300UFD","DMN2300UFD")</f>
        <v>DMN2300UFD</v>
      </c>
      <c r="D385" t="s">
        <v>631</v>
      </c>
      <c r="E385" t="s">
        <v>27</v>
      </c>
      <c r="F385" t="s">
        <v>28</v>
      </c>
      <c r="G385" t="s">
        <v>29</v>
      </c>
      <c r="H385" t="s">
        <v>27</v>
      </c>
      <c r="I385">
        <v>20</v>
      </c>
      <c r="J385">
        <v>8</v>
      </c>
      <c r="K385">
        <v>1.7</v>
      </c>
      <c r="M385">
        <v>0.96</v>
      </c>
      <c r="P385">
        <v>200</v>
      </c>
      <c r="Q385">
        <v>260</v>
      </c>
      <c r="R385">
        <v>400</v>
      </c>
      <c r="S385">
        <v>0.45</v>
      </c>
      <c r="T385">
        <v>0.95</v>
      </c>
      <c r="U385">
        <v>0.89</v>
      </c>
      <c r="W385">
        <v>70</v>
      </c>
      <c r="Y385" t="s">
        <v>1029</v>
      </c>
    </row>
    <row r="386" spans="1:25">
      <c r="A386" t="s">
        <v>1030</v>
      </c>
      <c r="B386" s="2" t="str">
        <f>Hyperlink("https://www.diodes.com/datasheet/download/DMN2300UFL4.pdf")</f>
        <v>https://www.diodes.com/datasheet/download/DMN2300UFL4.pdf</v>
      </c>
      <c r="C386" t="str">
        <f>Hyperlink("https://www.diodes.com/part/view/DMN2300UFL4","DMN2300UFL4")</f>
        <v>DMN2300UFL4</v>
      </c>
      <c r="D386" t="s">
        <v>631</v>
      </c>
      <c r="E386" t="s">
        <v>27</v>
      </c>
      <c r="F386" t="s">
        <v>28</v>
      </c>
      <c r="G386" t="s">
        <v>40</v>
      </c>
      <c r="H386" t="s">
        <v>27</v>
      </c>
      <c r="I386">
        <v>20</v>
      </c>
      <c r="J386">
        <v>8</v>
      </c>
      <c r="K386">
        <v>2.11</v>
      </c>
      <c r="M386">
        <v>1.39</v>
      </c>
      <c r="P386">
        <v>195</v>
      </c>
      <c r="Q386">
        <v>260</v>
      </c>
      <c r="R386">
        <v>380</v>
      </c>
      <c r="S386">
        <v>0.45</v>
      </c>
      <c r="T386">
        <v>0.95</v>
      </c>
      <c r="U386">
        <v>1.6</v>
      </c>
      <c r="W386">
        <v>70</v>
      </c>
      <c r="Y386" t="s">
        <v>898</v>
      </c>
    </row>
    <row r="387" spans="1:25">
      <c r="A387" t="s">
        <v>1031</v>
      </c>
      <c r="B387" s="2" t="str">
        <f>Hyperlink("https://www.diodes.com/datasheet/download/DMN2300UFL4Q.pdf")</f>
        <v>https://www.diodes.com/datasheet/download/DMN2300UFL4Q.pdf</v>
      </c>
      <c r="C387" t="str">
        <f>Hyperlink("https://www.diodes.com/part/view/DMN2300UFL4Q","DMN2300UFL4Q")</f>
        <v>DMN2300UFL4Q</v>
      </c>
      <c r="D387" t="s">
        <v>1032</v>
      </c>
      <c r="E387" t="s">
        <v>27</v>
      </c>
      <c r="F387" t="s">
        <v>37</v>
      </c>
      <c r="G387" t="s">
        <v>40</v>
      </c>
      <c r="H387" t="s">
        <v>27</v>
      </c>
      <c r="I387">
        <v>20</v>
      </c>
      <c r="J387">
        <v>8</v>
      </c>
      <c r="K387">
        <v>2.11</v>
      </c>
      <c r="M387">
        <v>1.39</v>
      </c>
      <c r="P387">
        <v>195</v>
      </c>
      <c r="Q387">
        <v>260</v>
      </c>
      <c r="R387">
        <v>380</v>
      </c>
      <c r="T387">
        <v>0.95</v>
      </c>
      <c r="U387">
        <v>1.6</v>
      </c>
      <c r="W387">
        <v>67.6</v>
      </c>
      <c r="X387">
        <v>20</v>
      </c>
      <c r="Y387" t="s">
        <v>898</v>
      </c>
    </row>
    <row r="388" spans="1:25">
      <c r="A388" t="s">
        <v>1033</v>
      </c>
      <c r="B388" s="2" t="str">
        <f>Hyperlink("https://www.diodes.com/datasheet/download/DMN2310U.pdf")</f>
        <v>https://www.diodes.com/datasheet/download/DMN2310U.pdf</v>
      </c>
      <c r="C388" t="str">
        <f>Hyperlink("https://www.diodes.com/part/view/DMN2310U","DMN2310U")</f>
        <v>DMN2310U</v>
      </c>
      <c r="D388" t="s">
        <v>26</v>
      </c>
      <c r="E388" t="s">
        <v>30</v>
      </c>
      <c r="F388" t="s">
        <v>28</v>
      </c>
      <c r="G388" t="s">
        <v>29</v>
      </c>
      <c r="H388" t="s">
        <v>27</v>
      </c>
      <c r="I388">
        <v>20</v>
      </c>
      <c r="J388">
        <v>8</v>
      </c>
      <c r="K388">
        <v>1.6</v>
      </c>
      <c r="M388">
        <v>0.68</v>
      </c>
      <c r="P388">
        <v>175</v>
      </c>
      <c r="Q388">
        <v>240</v>
      </c>
      <c r="R388">
        <v>360</v>
      </c>
      <c r="S388">
        <v>0.45</v>
      </c>
      <c r="T388">
        <v>0.95</v>
      </c>
      <c r="U388">
        <v>0.7</v>
      </c>
      <c r="W388">
        <v>38</v>
      </c>
      <c r="X388">
        <v>10</v>
      </c>
      <c r="Y388" t="s">
        <v>35</v>
      </c>
    </row>
    <row r="389" spans="1:25">
      <c r="A389" t="s">
        <v>1034</v>
      </c>
      <c r="B389" s="2" t="str">
        <f>Hyperlink("https://www.diodes.com/datasheet/download/DMN2310UFB4.pdf")</f>
        <v>https://www.diodes.com/datasheet/download/DMN2310UFB4.pdf</v>
      </c>
      <c r="C389" t="str">
        <f>Hyperlink("https://www.diodes.com/part/view/DMN2310UFB4","DMN2310UFB4")</f>
        <v>DMN2310UFB4</v>
      </c>
      <c r="D389" t="s">
        <v>26</v>
      </c>
      <c r="E389" t="s">
        <v>30</v>
      </c>
      <c r="F389" t="s">
        <v>28</v>
      </c>
      <c r="G389" t="s">
        <v>29</v>
      </c>
      <c r="H389" t="s">
        <v>27</v>
      </c>
      <c r="I389">
        <v>20</v>
      </c>
      <c r="J389">
        <v>8</v>
      </c>
      <c r="K389">
        <v>2.1</v>
      </c>
      <c r="M389">
        <v>1.14</v>
      </c>
      <c r="P389">
        <v>150</v>
      </c>
      <c r="Q389">
        <v>190</v>
      </c>
      <c r="R389">
        <v>250</v>
      </c>
      <c r="S389">
        <v>0.45</v>
      </c>
      <c r="T389">
        <v>0.95</v>
      </c>
      <c r="U389">
        <v>0.7</v>
      </c>
      <c r="W389">
        <v>38</v>
      </c>
      <c r="X389">
        <v>10</v>
      </c>
      <c r="Y389" t="s">
        <v>901</v>
      </c>
    </row>
    <row r="390" spans="1:25">
      <c r="A390" t="s">
        <v>1035</v>
      </c>
      <c r="B390" s="2" t="str">
        <f>Hyperlink("https://www.diodes.com/datasheet/download/DMN2310UFD.pdf")</f>
        <v>https://www.diodes.com/datasheet/download/DMN2310UFD.pdf</v>
      </c>
      <c r="C390" t="str">
        <f>Hyperlink("https://www.diodes.com/part/view/DMN2310UFD","DMN2310UFD")</f>
        <v>DMN2310UFD</v>
      </c>
      <c r="D390" t="s">
        <v>26</v>
      </c>
      <c r="E390" t="s">
        <v>30</v>
      </c>
      <c r="F390" t="s">
        <v>28</v>
      </c>
      <c r="G390" t="s">
        <v>29</v>
      </c>
      <c r="H390" t="s">
        <v>27</v>
      </c>
      <c r="I390">
        <v>20</v>
      </c>
      <c r="J390">
        <v>8</v>
      </c>
      <c r="K390">
        <v>1.9</v>
      </c>
      <c r="M390">
        <v>1.1</v>
      </c>
      <c r="P390">
        <v>240</v>
      </c>
      <c r="Q390">
        <v>300</v>
      </c>
      <c r="R390">
        <v>400</v>
      </c>
      <c r="T390">
        <v>0.95</v>
      </c>
      <c r="U390">
        <v>0.7</v>
      </c>
      <c r="Y390" t="s">
        <v>1036</v>
      </c>
    </row>
    <row r="391" spans="1:25">
      <c r="A391" t="s">
        <v>1037</v>
      </c>
      <c r="B391" s="2" t="str">
        <f>Hyperlink("https://www.diodes.com/datasheet/download/DMN2310UT.pdf")</f>
        <v>https://www.diodes.com/datasheet/download/DMN2310UT.pdf</v>
      </c>
      <c r="C391" t="str">
        <f>Hyperlink("https://www.diodes.com/part/view/DMN2310UT","DMN2310UT")</f>
        <v>DMN2310UT</v>
      </c>
      <c r="D391" t="s">
        <v>26</v>
      </c>
      <c r="E391" t="s">
        <v>30</v>
      </c>
      <c r="F391" t="s">
        <v>28</v>
      </c>
      <c r="G391" t="s">
        <v>29</v>
      </c>
      <c r="H391" t="s">
        <v>27</v>
      </c>
      <c r="I391">
        <v>20</v>
      </c>
      <c r="J391">
        <v>8</v>
      </c>
      <c r="K391">
        <v>1.2</v>
      </c>
      <c r="M391">
        <v>0.49</v>
      </c>
      <c r="P391">
        <v>240</v>
      </c>
      <c r="Q391">
        <v>300</v>
      </c>
      <c r="R391">
        <v>400</v>
      </c>
      <c r="S391">
        <v>0.45</v>
      </c>
      <c r="T391">
        <v>0.95</v>
      </c>
      <c r="U391">
        <v>0.7</v>
      </c>
      <c r="W391">
        <v>38</v>
      </c>
      <c r="X391">
        <v>10</v>
      </c>
      <c r="Y391" t="s">
        <v>56</v>
      </c>
    </row>
    <row r="392" spans="1:25">
      <c r="A392" t="s">
        <v>1038</v>
      </c>
      <c r="B392" s="2" t="str">
        <f>Hyperlink("https://www.diodes.com/datasheet/download/DMN2310UTQ.pdf")</f>
        <v>https://www.diodes.com/datasheet/download/DMN2310UTQ.pdf</v>
      </c>
      <c r="C392" t="str">
        <f>Hyperlink("https://www.diodes.com/part/view/DMN2310UTQ","DMN2310UTQ")</f>
        <v>DMN2310UTQ</v>
      </c>
      <c r="D392" t="s">
        <v>26</v>
      </c>
      <c r="E392" t="s">
        <v>27</v>
      </c>
      <c r="F392" t="s">
        <v>37</v>
      </c>
      <c r="G392" t="s">
        <v>29</v>
      </c>
      <c r="H392" t="s">
        <v>27</v>
      </c>
      <c r="I392">
        <v>20</v>
      </c>
      <c r="J392">
        <v>8</v>
      </c>
      <c r="K392">
        <v>1.2</v>
      </c>
      <c r="M392">
        <v>0.49</v>
      </c>
      <c r="P392">
        <v>240</v>
      </c>
      <c r="Q392">
        <v>300</v>
      </c>
      <c r="R392">
        <v>400</v>
      </c>
      <c r="S392">
        <v>0.45</v>
      </c>
      <c r="T392">
        <v>0.95</v>
      </c>
      <c r="U392">
        <v>0.7</v>
      </c>
      <c r="W392">
        <v>38</v>
      </c>
      <c r="X392">
        <v>10</v>
      </c>
      <c r="Y392" t="s">
        <v>56</v>
      </c>
    </row>
    <row r="393" spans="1:25">
      <c r="A393" t="s">
        <v>1039</v>
      </c>
      <c r="B393" s="2" t="str">
        <f>Hyperlink("https://www.diodes.com/datasheet/download/DMN2310UW.pdf")</f>
        <v>https://www.diodes.com/datasheet/download/DMN2310UW.pdf</v>
      </c>
      <c r="C393" t="str">
        <f>Hyperlink("https://www.diodes.com/part/view/DMN2310UW","DMN2310UW")</f>
        <v>DMN2310UW</v>
      </c>
      <c r="D393" t="s">
        <v>26</v>
      </c>
      <c r="E393" t="s">
        <v>30</v>
      </c>
      <c r="F393" t="s">
        <v>28</v>
      </c>
      <c r="G393" t="s">
        <v>29</v>
      </c>
      <c r="H393" t="s">
        <v>27</v>
      </c>
      <c r="I393">
        <v>20</v>
      </c>
      <c r="J393">
        <v>8</v>
      </c>
      <c r="K393">
        <v>1.3</v>
      </c>
      <c r="M393">
        <v>0.55</v>
      </c>
      <c r="P393">
        <v>200</v>
      </c>
      <c r="Q393">
        <v>280</v>
      </c>
      <c r="R393">
        <v>380</v>
      </c>
      <c r="S393">
        <v>0.45</v>
      </c>
      <c r="T393">
        <v>0.95</v>
      </c>
      <c r="U393">
        <v>0.7</v>
      </c>
      <c r="W393">
        <v>38</v>
      </c>
      <c r="X393">
        <v>10</v>
      </c>
      <c r="Y393" t="s">
        <v>92</v>
      </c>
    </row>
    <row r="394" spans="1:25">
      <c r="A394" t="s">
        <v>1040</v>
      </c>
      <c r="B394" s="2" t="str">
        <f>Hyperlink("https://www.diodes.com/datasheet/download/DMN2310UWQ.pdf")</f>
        <v>https://www.diodes.com/datasheet/download/DMN2310UWQ.pdf</v>
      </c>
      <c r="C394" t="str">
        <f>Hyperlink("https://www.diodes.com/part/view/DMN2310UWQ","DMN2310UWQ")</f>
        <v>DMN2310UWQ</v>
      </c>
      <c r="D394" t="s">
        <v>26</v>
      </c>
      <c r="E394" t="s">
        <v>27</v>
      </c>
      <c r="F394" t="s">
        <v>37</v>
      </c>
      <c r="G394" t="s">
        <v>29</v>
      </c>
      <c r="H394" t="s">
        <v>27</v>
      </c>
      <c r="I394">
        <v>20</v>
      </c>
      <c r="J394">
        <v>8</v>
      </c>
      <c r="K394">
        <v>1.3</v>
      </c>
      <c r="M394">
        <v>0.55</v>
      </c>
      <c r="P394">
        <v>200</v>
      </c>
      <c r="Q394">
        <v>280</v>
      </c>
      <c r="R394">
        <v>380</v>
      </c>
      <c r="S394">
        <v>0.45</v>
      </c>
      <c r="T394">
        <v>0.95</v>
      </c>
      <c r="U394">
        <v>0.7</v>
      </c>
      <c r="W394">
        <v>38</v>
      </c>
      <c r="X394">
        <v>10</v>
      </c>
      <c r="Y394" t="s">
        <v>92</v>
      </c>
    </row>
    <row r="395" spans="1:25">
      <c r="A395" t="s">
        <v>1041</v>
      </c>
      <c r="B395" s="2" t="str">
        <f>Hyperlink("https://www.diodes.com/datasheet/download/DMN2320UFB4.pdf")</f>
        <v>https://www.diodes.com/datasheet/download/DMN2320UFB4.pdf</v>
      </c>
      <c r="C395" t="str">
        <f>Hyperlink("https://www.diodes.com/part/view/DMN2320UFB4","DMN2320UFB4")</f>
        <v>DMN2320UFB4</v>
      </c>
      <c r="D395" t="s">
        <v>631</v>
      </c>
      <c r="E395" t="s">
        <v>30</v>
      </c>
      <c r="F395" t="s">
        <v>28</v>
      </c>
      <c r="G395" t="s">
        <v>29</v>
      </c>
      <c r="H395" t="s">
        <v>27</v>
      </c>
      <c r="I395">
        <v>20</v>
      </c>
      <c r="J395">
        <v>8</v>
      </c>
      <c r="K395">
        <v>1</v>
      </c>
      <c r="M395">
        <v>1.07</v>
      </c>
      <c r="P395">
        <v>320</v>
      </c>
      <c r="Q395">
        <v>500</v>
      </c>
      <c r="R395">
        <v>1000</v>
      </c>
      <c r="T395">
        <v>0.95</v>
      </c>
      <c r="U395">
        <v>0.89</v>
      </c>
      <c r="W395">
        <v>71</v>
      </c>
      <c r="Y395" t="s">
        <v>901</v>
      </c>
    </row>
    <row r="396" spans="1:25">
      <c r="A396" t="s">
        <v>1042</v>
      </c>
      <c r="B396" s="2" t="str">
        <f>Hyperlink("https://www.diodes.com/datasheet/download/DMN2400UFB.pdf")</f>
        <v>https://www.diodes.com/datasheet/download/DMN2400UFB.pdf</v>
      </c>
      <c r="C396" t="str">
        <f>Hyperlink("https://www.diodes.com/part/view/DMN2400UFB","DMN2400UFB")</f>
        <v>DMN2400UFB</v>
      </c>
      <c r="D396" t="s">
        <v>631</v>
      </c>
      <c r="E396" t="s">
        <v>27</v>
      </c>
      <c r="F396" t="s">
        <v>28</v>
      </c>
      <c r="G396" t="s">
        <v>29</v>
      </c>
      <c r="H396" t="s">
        <v>27</v>
      </c>
      <c r="I396">
        <v>20</v>
      </c>
      <c r="J396">
        <v>12</v>
      </c>
      <c r="K396">
        <v>0.75</v>
      </c>
      <c r="M396">
        <v>0.47</v>
      </c>
      <c r="P396">
        <v>550</v>
      </c>
      <c r="Q396">
        <v>750</v>
      </c>
      <c r="R396">
        <v>900</v>
      </c>
      <c r="S396">
        <v>0.5</v>
      </c>
      <c r="T396">
        <v>0.9</v>
      </c>
      <c r="U396">
        <v>0.5</v>
      </c>
      <c r="W396">
        <v>38</v>
      </c>
      <c r="Y396" t="s">
        <v>846</v>
      </c>
    </row>
    <row r="397" spans="1:25">
      <c r="A397" t="s">
        <v>1043</v>
      </c>
      <c r="B397" s="2" t="str">
        <f>Hyperlink("https://www.diodes.com/datasheet/download/DMN2400UV.pdf")</f>
        <v>https://www.diodes.com/datasheet/download/DMN2400UV.pdf</v>
      </c>
      <c r="C397" t="str">
        <f>Hyperlink("https://www.diodes.com/part/view/DMN2400UV","DMN2400UV")</f>
        <v>DMN2400UV</v>
      </c>
      <c r="D397" t="s">
        <v>631</v>
      </c>
      <c r="E397" t="s">
        <v>27</v>
      </c>
      <c r="F397" t="s">
        <v>28</v>
      </c>
      <c r="G397" t="s">
        <v>40</v>
      </c>
      <c r="H397" t="s">
        <v>27</v>
      </c>
      <c r="I397">
        <v>20</v>
      </c>
      <c r="J397">
        <v>12</v>
      </c>
      <c r="K397">
        <v>1.33</v>
      </c>
      <c r="M397">
        <v>0.53</v>
      </c>
      <c r="P397">
        <v>500</v>
      </c>
      <c r="Q397">
        <v>700</v>
      </c>
      <c r="R397">
        <v>900</v>
      </c>
      <c r="S397">
        <v>0.5</v>
      </c>
      <c r="T397">
        <v>0.9</v>
      </c>
      <c r="U397">
        <v>0.5</v>
      </c>
      <c r="W397">
        <v>38</v>
      </c>
      <c r="Y397" t="s">
        <v>60</v>
      </c>
    </row>
    <row r="398" spans="1:25">
      <c r="A398" t="s">
        <v>1044</v>
      </c>
      <c r="B398" s="2" t="str">
        <f>Hyperlink("https://www.diodes.com/datasheet/download/DMN2450UFB4.pdf")</f>
        <v>https://www.diodes.com/datasheet/download/DMN2450UFB4.pdf</v>
      </c>
      <c r="C398" t="str">
        <f>Hyperlink("https://www.diodes.com/part/view/DMN2450UFB4","DMN2450UFB4")</f>
        <v>DMN2450UFB4</v>
      </c>
      <c r="D398" t="s">
        <v>26</v>
      </c>
      <c r="E398" t="s">
        <v>30</v>
      </c>
      <c r="F398" t="s">
        <v>28</v>
      </c>
      <c r="G398" t="s">
        <v>29</v>
      </c>
      <c r="H398" t="s">
        <v>27</v>
      </c>
      <c r="I398">
        <v>20</v>
      </c>
      <c r="J398">
        <v>12</v>
      </c>
      <c r="K398">
        <v>1</v>
      </c>
      <c r="M398">
        <v>0.9</v>
      </c>
      <c r="P398">
        <v>400</v>
      </c>
      <c r="Q398">
        <v>500</v>
      </c>
      <c r="R398">
        <v>700</v>
      </c>
      <c r="S398">
        <v>0.5</v>
      </c>
      <c r="T398">
        <v>0.9</v>
      </c>
      <c r="U398">
        <v>0.6</v>
      </c>
      <c r="V398">
        <v>1.3</v>
      </c>
      <c r="W398">
        <v>56</v>
      </c>
      <c r="X398">
        <v>16</v>
      </c>
      <c r="Y398" t="s">
        <v>901</v>
      </c>
    </row>
    <row r="399" spans="1:25">
      <c r="A399" t="s">
        <v>1045</v>
      </c>
      <c r="B399" s="2" t="str">
        <f>Hyperlink("https://www.diodes.com/datasheet/download/DMN2450UFB4Q.pdf")</f>
        <v>https://www.diodes.com/datasheet/download/DMN2450UFB4Q.pdf</v>
      </c>
      <c r="C399" t="str">
        <f>Hyperlink("https://www.diodes.com/part/view/DMN2450UFB4Q","DMN2450UFB4Q")</f>
        <v>DMN2450UFB4Q</v>
      </c>
      <c r="D399" t="s">
        <v>26</v>
      </c>
      <c r="E399" t="s">
        <v>27</v>
      </c>
      <c r="F399" t="s">
        <v>37</v>
      </c>
      <c r="G399" t="s">
        <v>29</v>
      </c>
      <c r="H399" t="s">
        <v>27</v>
      </c>
      <c r="I399">
        <v>20</v>
      </c>
      <c r="J399">
        <v>12</v>
      </c>
      <c r="K399">
        <v>1</v>
      </c>
      <c r="M399">
        <v>0.9</v>
      </c>
      <c r="P399">
        <v>400</v>
      </c>
      <c r="Q399">
        <v>500</v>
      </c>
      <c r="R399">
        <v>700</v>
      </c>
      <c r="T399">
        <v>0.9</v>
      </c>
      <c r="U399">
        <v>0.6</v>
      </c>
      <c r="V399">
        <v>1.3</v>
      </c>
      <c r="Y399" t="s">
        <v>901</v>
      </c>
    </row>
    <row r="400" spans="1:25">
      <c r="A400" t="s">
        <v>1046</v>
      </c>
      <c r="B400" s="2" t="str">
        <f>Hyperlink("https://www.diodes.com/datasheet/download/DMN2450UFD.pdf")</f>
        <v>https://www.diodes.com/datasheet/download/DMN2450UFD.pdf</v>
      </c>
      <c r="C400" t="str">
        <f>Hyperlink("https://www.diodes.com/part/view/DMN2450UFD","DMN2450UFD")</f>
        <v>DMN2450UFD</v>
      </c>
      <c r="D400" t="s">
        <v>26</v>
      </c>
      <c r="E400" t="s">
        <v>30</v>
      </c>
      <c r="F400" t="s">
        <v>28</v>
      </c>
      <c r="G400" t="s">
        <v>29</v>
      </c>
      <c r="H400" t="s">
        <v>27</v>
      </c>
      <c r="I400">
        <v>20</v>
      </c>
      <c r="J400">
        <v>12</v>
      </c>
      <c r="K400">
        <v>0.9</v>
      </c>
      <c r="M400">
        <v>0.89</v>
      </c>
      <c r="P400">
        <v>600</v>
      </c>
      <c r="Q400">
        <v>800</v>
      </c>
      <c r="R400">
        <v>1000</v>
      </c>
      <c r="S400">
        <v>0.45</v>
      </c>
      <c r="T400">
        <v>1</v>
      </c>
      <c r="U400">
        <v>0.7</v>
      </c>
      <c r="W400">
        <v>52</v>
      </c>
      <c r="X400">
        <v>16</v>
      </c>
      <c r="Y400" t="s">
        <v>1029</v>
      </c>
    </row>
    <row r="401" spans="1:25">
      <c r="A401" t="s">
        <v>1047</v>
      </c>
      <c r="B401" s="2" t="str">
        <f>Hyperlink("https://www.diodes.com/datasheet/download/DMN2451UFB4.pdf")</f>
        <v>https://www.diodes.com/datasheet/download/DMN2451UFB4.pdf</v>
      </c>
      <c r="C401" t="str">
        <f>Hyperlink("https://www.diodes.com/part/view/DMN2451UFB4","DMN2451UFB4")</f>
        <v>DMN2451UFB4</v>
      </c>
      <c r="D401" t="s">
        <v>26</v>
      </c>
      <c r="E401" t="s">
        <v>30</v>
      </c>
      <c r="F401" t="s">
        <v>28</v>
      </c>
      <c r="G401" t="s">
        <v>29</v>
      </c>
      <c r="H401" t="s">
        <v>27</v>
      </c>
      <c r="I401">
        <v>20</v>
      </c>
      <c r="J401">
        <v>12</v>
      </c>
      <c r="K401">
        <v>1.3</v>
      </c>
      <c r="M401">
        <v>1.1</v>
      </c>
      <c r="P401">
        <v>400</v>
      </c>
      <c r="Q401">
        <v>500</v>
      </c>
      <c r="R401">
        <v>700</v>
      </c>
      <c r="T401">
        <v>1</v>
      </c>
      <c r="U401">
        <v>3.4</v>
      </c>
      <c r="V401">
        <v>6.4</v>
      </c>
      <c r="Y401" t="s">
        <v>901</v>
      </c>
    </row>
    <row r="402" spans="1:25">
      <c r="A402" t="s">
        <v>1048</v>
      </c>
      <c r="B402" s="2" t="str">
        <f>Hyperlink("https://www.diodes.com/datasheet/download/DMN2451UFB4Q.pdf")</f>
        <v>https://www.diodes.com/datasheet/download/DMN2451UFB4Q.pdf</v>
      </c>
      <c r="C402" t="str">
        <f>Hyperlink("https://www.diodes.com/part/view/DMN2451UFB4Q","DMN2451UFB4Q")</f>
        <v>DMN2451UFB4Q</v>
      </c>
      <c r="D402" t="s">
        <v>26</v>
      </c>
      <c r="E402" t="s">
        <v>27</v>
      </c>
      <c r="F402" t="s">
        <v>37</v>
      </c>
      <c r="G402" t="s">
        <v>29</v>
      </c>
      <c r="H402" t="s">
        <v>27</v>
      </c>
      <c r="I402">
        <v>20</v>
      </c>
      <c r="J402">
        <v>12</v>
      </c>
      <c r="K402">
        <v>1.3</v>
      </c>
      <c r="M402">
        <v>1.1</v>
      </c>
      <c r="P402">
        <v>400</v>
      </c>
      <c r="Q402">
        <v>500</v>
      </c>
      <c r="R402">
        <v>700</v>
      </c>
      <c r="T402">
        <v>1</v>
      </c>
      <c r="U402">
        <v>3.4</v>
      </c>
      <c r="V402">
        <v>6.4</v>
      </c>
      <c r="Y402" t="s">
        <v>901</v>
      </c>
    </row>
    <row r="403" spans="1:25">
      <c r="A403" t="s">
        <v>1049</v>
      </c>
      <c r="B403" s="2" t="str">
        <f>Hyperlink("https://www.diodes.com/datasheet/download/DMN2451UFDQ.pdf")</f>
        <v>https://www.diodes.com/datasheet/download/DMN2451UFDQ.pdf</v>
      </c>
      <c r="C403" t="str">
        <f>Hyperlink("https://www.diodes.com/part/view/DMN2451UFDQ","DMN2451UFDQ")</f>
        <v>DMN2451UFDQ</v>
      </c>
      <c r="D403" t="s">
        <v>26</v>
      </c>
      <c r="E403" t="s">
        <v>27</v>
      </c>
      <c r="F403" t="s">
        <v>37</v>
      </c>
      <c r="G403" t="s">
        <v>29</v>
      </c>
      <c r="H403" t="s">
        <v>27</v>
      </c>
      <c r="I403">
        <v>20</v>
      </c>
      <c r="J403">
        <v>12</v>
      </c>
      <c r="K403">
        <v>1.1</v>
      </c>
      <c r="M403">
        <v>1.1</v>
      </c>
      <c r="P403">
        <v>600</v>
      </c>
      <c r="Q403">
        <v>800</v>
      </c>
      <c r="R403">
        <v>1000</v>
      </c>
      <c r="S403">
        <v>0.45</v>
      </c>
      <c r="T403">
        <v>1</v>
      </c>
      <c r="U403">
        <v>0.7</v>
      </c>
      <c r="W403">
        <v>52</v>
      </c>
      <c r="X403">
        <v>16</v>
      </c>
      <c r="Y403" t="s">
        <v>1036</v>
      </c>
    </row>
    <row r="404" spans="1:25">
      <c r="A404" t="s">
        <v>1050</v>
      </c>
      <c r="B404" s="2" t="str">
        <f>Hyperlink("https://www.diodes.com/datasheet/download/DMN24H11DS.pdf")</f>
        <v>https://www.diodes.com/datasheet/download/DMN24H11DS.pdf</v>
      </c>
      <c r="C404" t="str">
        <f>Hyperlink("https://www.diodes.com/part/view/DMN24H11DS","DMN24H11DS")</f>
        <v>DMN24H11DS</v>
      </c>
      <c r="D404" t="s">
        <v>26</v>
      </c>
      <c r="E404" t="s">
        <v>27</v>
      </c>
      <c r="F404" t="s">
        <v>28</v>
      </c>
      <c r="G404" t="s">
        <v>29</v>
      </c>
      <c r="H404" t="s">
        <v>30</v>
      </c>
      <c r="I404">
        <v>240</v>
      </c>
      <c r="J404">
        <v>20</v>
      </c>
      <c r="K404">
        <v>0.27</v>
      </c>
      <c r="M404">
        <v>1.2</v>
      </c>
      <c r="O404">
        <v>11000</v>
      </c>
      <c r="P404">
        <v>12000</v>
      </c>
      <c r="T404">
        <v>3</v>
      </c>
      <c r="V404">
        <v>3.7</v>
      </c>
      <c r="W404">
        <v>76.8</v>
      </c>
      <c r="Y404" t="s">
        <v>35</v>
      </c>
    </row>
    <row r="405" spans="1:25">
      <c r="A405" t="s">
        <v>1051</v>
      </c>
      <c r="B405" s="2" t="str">
        <f>Hyperlink("https://www.diodes.com/datasheet/download/DMN24H11DSQ.pdf")</f>
        <v>https://www.diodes.com/datasheet/download/DMN24H11DSQ.pdf</v>
      </c>
      <c r="C405" t="str">
        <f>Hyperlink("https://www.diodes.com/part/view/DMN24H11DSQ","DMN24H11DSQ")</f>
        <v>DMN24H11DSQ</v>
      </c>
      <c r="D405" t="s">
        <v>26</v>
      </c>
      <c r="E405" t="s">
        <v>27</v>
      </c>
      <c r="F405" t="s">
        <v>37</v>
      </c>
      <c r="G405" t="s">
        <v>29</v>
      </c>
      <c r="H405" t="s">
        <v>30</v>
      </c>
      <c r="I405">
        <v>240</v>
      </c>
      <c r="J405">
        <v>20</v>
      </c>
      <c r="K405">
        <v>0.27</v>
      </c>
      <c r="M405">
        <v>1.2</v>
      </c>
      <c r="O405">
        <v>11000</v>
      </c>
      <c r="P405">
        <v>12000</v>
      </c>
      <c r="T405">
        <v>3</v>
      </c>
      <c r="V405">
        <v>3.7</v>
      </c>
      <c r="W405">
        <v>76.8</v>
      </c>
      <c r="X405">
        <v>25</v>
      </c>
      <c r="Y405" t="s">
        <v>35</v>
      </c>
    </row>
    <row r="406" spans="1:25">
      <c r="A406" t="s">
        <v>1052</v>
      </c>
      <c r="B406" s="2" t="str">
        <f>Hyperlink("https://www.diodes.com/datasheet/download/DMN24H3D5L.pdf")</f>
        <v>https://www.diodes.com/datasheet/download/DMN24H3D5L.pdf</v>
      </c>
      <c r="C406" t="str">
        <f>Hyperlink("https://www.diodes.com/part/view/DMN24H3D5L","DMN24H3D5L")</f>
        <v>DMN24H3D5L</v>
      </c>
      <c r="D406" t="s">
        <v>26</v>
      </c>
      <c r="E406" t="s">
        <v>30</v>
      </c>
      <c r="F406" t="s">
        <v>28</v>
      </c>
      <c r="G406" t="s">
        <v>29</v>
      </c>
      <c r="H406" t="s">
        <v>30</v>
      </c>
      <c r="I406">
        <v>240</v>
      </c>
      <c r="J406">
        <v>20</v>
      </c>
      <c r="K406">
        <v>0.48</v>
      </c>
      <c r="M406">
        <v>1.26</v>
      </c>
      <c r="O406">
        <v>3500</v>
      </c>
      <c r="P406">
        <v>3500</v>
      </c>
      <c r="Q406" t="s">
        <v>1053</v>
      </c>
      <c r="T406">
        <v>2.5</v>
      </c>
      <c r="V406">
        <v>6.6</v>
      </c>
      <c r="W406">
        <v>188</v>
      </c>
      <c r="X406">
        <v>25</v>
      </c>
      <c r="Y406" t="s">
        <v>35</v>
      </c>
    </row>
    <row r="407" spans="1:25">
      <c r="A407" t="s">
        <v>1054</v>
      </c>
      <c r="B407" s="2" t="str">
        <f>Hyperlink("https://www.diodes.com/datasheet/download/DMN2501UFB4.pdf")</f>
        <v>https://www.diodes.com/datasheet/download/DMN2501UFB4.pdf</v>
      </c>
      <c r="C407" t="str">
        <f>Hyperlink("https://www.diodes.com/part/view/DMN2501UFB4","DMN2501UFB4")</f>
        <v>DMN2501UFB4</v>
      </c>
      <c r="D407" t="s">
        <v>631</v>
      </c>
      <c r="E407" t="s">
        <v>27</v>
      </c>
      <c r="F407" t="s">
        <v>28</v>
      </c>
      <c r="G407" t="s">
        <v>29</v>
      </c>
      <c r="H407" t="s">
        <v>27</v>
      </c>
      <c r="I407">
        <v>20</v>
      </c>
      <c r="J407">
        <v>8</v>
      </c>
      <c r="K407">
        <v>1.5</v>
      </c>
      <c r="M407">
        <v>1.2</v>
      </c>
      <c r="P407">
        <v>400</v>
      </c>
      <c r="Q407">
        <v>500</v>
      </c>
      <c r="R407">
        <v>700</v>
      </c>
      <c r="S407">
        <v>0.5</v>
      </c>
      <c r="T407">
        <v>1</v>
      </c>
      <c r="U407">
        <v>1.1</v>
      </c>
      <c r="V407">
        <v>2</v>
      </c>
      <c r="W407">
        <v>88</v>
      </c>
      <c r="Y407" t="s">
        <v>901</v>
      </c>
    </row>
    <row r="408" spans="1:25">
      <c r="A408" t="s">
        <v>1055</v>
      </c>
      <c r="B408" s="2" t="str">
        <f>Hyperlink("https://www.diodes.com/datasheet/download/DMN2550UFA.pdf")</f>
        <v>https://www.diodes.com/datasheet/download/DMN2550UFA.pdf</v>
      </c>
      <c r="C408" t="str">
        <f>Hyperlink("https://www.diodes.com/part/view/DMN2550UFA","DMN2550UFA")</f>
        <v>DMN2550UFA</v>
      </c>
      <c r="D408" t="s">
        <v>631</v>
      </c>
      <c r="E408" t="s">
        <v>30</v>
      </c>
      <c r="F408" t="s">
        <v>28</v>
      </c>
      <c r="G408" t="s">
        <v>29</v>
      </c>
      <c r="H408" t="s">
        <v>27</v>
      </c>
      <c r="I408">
        <v>20</v>
      </c>
      <c r="J408">
        <v>8</v>
      </c>
      <c r="K408">
        <v>0.6</v>
      </c>
      <c r="M408">
        <v>0.36</v>
      </c>
      <c r="P408">
        <v>450</v>
      </c>
      <c r="Q408">
        <v>550</v>
      </c>
      <c r="R408">
        <v>750</v>
      </c>
      <c r="S408">
        <v>0.4</v>
      </c>
      <c r="T408">
        <v>1</v>
      </c>
      <c r="U408">
        <v>0.88</v>
      </c>
      <c r="W408">
        <v>54</v>
      </c>
      <c r="Y408" t="s">
        <v>855</v>
      </c>
    </row>
    <row r="409" spans="1:25">
      <c r="A409" t="s">
        <v>1056</v>
      </c>
      <c r="B409" s="2" t="str">
        <f>Hyperlink("https://www.diodes.com/datasheet/download/DMN25D0UFA.pdf")</f>
        <v>https://www.diodes.com/datasheet/download/DMN25D0UFA.pdf</v>
      </c>
      <c r="C409" t="str">
        <f>Hyperlink("https://www.diodes.com/part/view/DMN25D0UFA","DMN25D0UFA")</f>
        <v>DMN25D0UFA</v>
      </c>
      <c r="D409" t="s">
        <v>631</v>
      </c>
      <c r="E409" t="s">
        <v>27</v>
      </c>
      <c r="F409" t="s">
        <v>28</v>
      </c>
      <c r="G409" t="s">
        <v>29</v>
      </c>
      <c r="H409" t="s">
        <v>27</v>
      </c>
      <c r="I409">
        <v>25</v>
      </c>
      <c r="J409">
        <v>8</v>
      </c>
      <c r="K409">
        <v>0.32</v>
      </c>
      <c r="M409">
        <v>0.63</v>
      </c>
      <c r="P409">
        <v>4000</v>
      </c>
      <c r="Q409">
        <v>5000</v>
      </c>
      <c r="S409">
        <v>0.6</v>
      </c>
      <c r="T409">
        <v>1.2</v>
      </c>
      <c r="U409">
        <v>0.36</v>
      </c>
      <c r="W409">
        <v>27.9</v>
      </c>
      <c r="Y409" t="s">
        <v>855</v>
      </c>
    </row>
    <row r="410" spans="1:25">
      <c r="A410" t="s">
        <v>1057</v>
      </c>
      <c r="B410" s="2" t="str">
        <f>Hyperlink("https://www.diodes.com/datasheet/download/DMN2600UFB.pdf")</f>
        <v>https://www.diodes.com/datasheet/download/DMN2600UFB.pdf</v>
      </c>
      <c r="C410" t="str">
        <f>Hyperlink("https://www.diodes.com/part/view/DMN2600UFB","DMN2600UFB")</f>
        <v>DMN2600UFB</v>
      </c>
      <c r="D410" t="s">
        <v>631</v>
      </c>
      <c r="E410" t="s">
        <v>27</v>
      </c>
      <c r="F410" t="s">
        <v>28</v>
      </c>
      <c r="G410" t="s">
        <v>29</v>
      </c>
      <c r="H410" t="s">
        <v>27</v>
      </c>
      <c r="I410">
        <v>25</v>
      </c>
      <c r="J410">
        <v>8</v>
      </c>
      <c r="K410">
        <v>1.3</v>
      </c>
      <c r="M410">
        <v>0.54</v>
      </c>
      <c r="P410">
        <v>350</v>
      </c>
      <c r="Q410">
        <v>450</v>
      </c>
      <c r="R410">
        <v>600</v>
      </c>
      <c r="S410">
        <v>0.45</v>
      </c>
      <c r="T410">
        <v>1</v>
      </c>
      <c r="U410">
        <v>0.85</v>
      </c>
      <c r="W410">
        <v>75</v>
      </c>
      <c r="Y410" t="s">
        <v>846</v>
      </c>
    </row>
    <row r="411" spans="1:25">
      <c r="A411" t="s">
        <v>1058</v>
      </c>
      <c r="B411" s="2" t="str">
        <f>Hyperlink("https://www.diodes.com/datasheet/download/DMN26D0UT.pdf")</f>
        <v>https://www.diodes.com/datasheet/download/DMN26D0UT.pdf</v>
      </c>
      <c r="C411" t="str">
        <f>Hyperlink("https://www.diodes.com/part/view/DMN26D0UT","DMN26D0UT")</f>
        <v>DMN26D0UT</v>
      </c>
      <c r="D411" t="s">
        <v>631</v>
      </c>
      <c r="E411" t="s">
        <v>27</v>
      </c>
      <c r="F411" t="s">
        <v>28</v>
      </c>
      <c r="G411" t="s">
        <v>29</v>
      </c>
      <c r="H411" t="s">
        <v>27</v>
      </c>
      <c r="I411">
        <v>20</v>
      </c>
      <c r="J411">
        <v>10</v>
      </c>
      <c r="K411">
        <v>0.23</v>
      </c>
      <c r="M411">
        <v>0.3</v>
      </c>
      <c r="P411">
        <v>3000</v>
      </c>
      <c r="Q411">
        <v>4000</v>
      </c>
      <c r="R411">
        <v>6000</v>
      </c>
      <c r="S411">
        <v>0.5</v>
      </c>
      <c r="T411">
        <v>1</v>
      </c>
      <c r="W411">
        <v>14.5</v>
      </c>
      <c r="Y411" t="s">
        <v>56</v>
      </c>
    </row>
    <row r="412" spans="1:25">
      <c r="A412" t="s">
        <v>1059</v>
      </c>
      <c r="B412" s="2" t="str">
        <f>Hyperlink("https://www.diodes.com/datasheet/download/DMN2710UDW.pdf")</f>
        <v>https://www.diodes.com/datasheet/download/DMN2710UDW.pdf</v>
      </c>
      <c r="C412" t="str">
        <f>Hyperlink("https://www.diodes.com/part/view/DMN2710UDW","DMN2710UDW")</f>
        <v>DMN2710UDW</v>
      </c>
      <c r="D412" t="s">
        <v>1060</v>
      </c>
      <c r="E412" t="s">
        <v>30</v>
      </c>
      <c r="F412" t="s">
        <v>28</v>
      </c>
      <c r="G412" t="s">
        <v>40</v>
      </c>
      <c r="H412" t="s">
        <v>27</v>
      </c>
      <c r="I412">
        <v>20</v>
      </c>
      <c r="J412">
        <v>6</v>
      </c>
      <c r="K412">
        <v>0.8</v>
      </c>
      <c r="M412">
        <v>0.49</v>
      </c>
      <c r="P412">
        <v>450</v>
      </c>
      <c r="Q412">
        <v>600</v>
      </c>
      <c r="R412">
        <v>750</v>
      </c>
      <c r="T412">
        <v>1</v>
      </c>
      <c r="U412">
        <v>0.6</v>
      </c>
      <c r="Y412" t="s">
        <v>42</v>
      </c>
    </row>
    <row r="413" spans="1:25">
      <c r="A413" t="s">
        <v>1061</v>
      </c>
      <c r="B413" s="2" t="str">
        <f>Hyperlink("https://www.diodes.com/datasheet/download/DMN2710UDWQ.pdf")</f>
        <v>https://www.diodes.com/datasheet/download/DMN2710UDWQ.pdf</v>
      </c>
      <c r="C413" t="str">
        <f>Hyperlink("https://www.diodes.com/part/view/DMN2710UDWQ","DMN2710UDWQ")</f>
        <v>DMN2710UDWQ</v>
      </c>
      <c r="D413" t="s">
        <v>1060</v>
      </c>
      <c r="E413" t="s">
        <v>27</v>
      </c>
      <c r="F413" t="s">
        <v>37</v>
      </c>
      <c r="G413" t="s">
        <v>40</v>
      </c>
      <c r="H413" t="s">
        <v>27</v>
      </c>
      <c r="I413">
        <v>20</v>
      </c>
      <c r="J413">
        <v>6</v>
      </c>
      <c r="K413">
        <v>0.8</v>
      </c>
      <c r="M413">
        <v>0.49</v>
      </c>
      <c r="P413">
        <v>450</v>
      </c>
      <c r="Q413">
        <v>600</v>
      </c>
      <c r="R413">
        <v>750</v>
      </c>
      <c r="T413">
        <v>1</v>
      </c>
      <c r="U413">
        <v>0.6</v>
      </c>
      <c r="Y413" t="s">
        <v>42</v>
      </c>
    </row>
    <row r="414" spans="1:25">
      <c r="A414" t="s">
        <v>1062</v>
      </c>
      <c r="B414" s="2" t="str">
        <f>Hyperlink("https://www.diodes.com/datasheet/download/DMN2710UFB.pdf")</f>
        <v>https://www.diodes.com/datasheet/download/DMN2710UFB.pdf</v>
      </c>
      <c r="C414" t="str">
        <f>Hyperlink("https://www.diodes.com/part/view/DMN2710UFB","DMN2710UFB")</f>
        <v>DMN2710UFB</v>
      </c>
      <c r="D414" t="s">
        <v>26</v>
      </c>
      <c r="E414" t="s">
        <v>30</v>
      </c>
      <c r="F414" t="s">
        <v>28</v>
      </c>
      <c r="G414" t="s">
        <v>29</v>
      </c>
      <c r="H414" t="s">
        <v>27</v>
      </c>
      <c r="I414">
        <v>20</v>
      </c>
      <c r="J414">
        <v>6</v>
      </c>
      <c r="K414">
        <v>1.3</v>
      </c>
      <c r="M414">
        <v>1.3</v>
      </c>
      <c r="P414">
        <v>450</v>
      </c>
      <c r="Q414">
        <v>600</v>
      </c>
      <c r="R414">
        <v>750</v>
      </c>
      <c r="S414">
        <v>0.5</v>
      </c>
      <c r="T414">
        <v>1</v>
      </c>
      <c r="U414">
        <v>0.6</v>
      </c>
      <c r="W414">
        <v>42</v>
      </c>
      <c r="X414">
        <v>16</v>
      </c>
      <c r="Y414" t="s">
        <v>846</v>
      </c>
    </row>
    <row r="415" spans="1:25">
      <c r="A415" t="s">
        <v>1063</v>
      </c>
      <c r="B415" s="2" t="str">
        <f>Hyperlink("https://www.diodes.com/datasheet/download/DMN2710UFBQ.pdf")</f>
        <v>https://www.diodes.com/datasheet/download/DMN2710UFBQ.pdf</v>
      </c>
      <c r="C415" t="str">
        <f>Hyperlink("https://www.diodes.com/part/view/DMN2710UFBQ","DMN2710UFBQ")</f>
        <v>DMN2710UFBQ</v>
      </c>
      <c r="D415" t="s">
        <v>849</v>
      </c>
      <c r="E415" t="s">
        <v>27</v>
      </c>
      <c r="F415" t="s">
        <v>37</v>
      </c>
      <c r="G415" t="s">
        <v>29</v>
      </c>
      <c r="H415" t="s">
        <v>27</v>
      </c>
      <c r="I415">
        <v>20</v>
      </c>
      <c r="J415">
        <v>6</v>
      </c>
      <c r="K415">
        <v>1.3</v>
      </c>
      <c r="M415">
        <v>1.3</v>
      </c>
      <c r="P415">
        <v>450</v>
      </c>
      <c r="Q415">
        <v>600</v>
      </c>
      <c r="R415">
        <v>750</v>
      </c>
      <c r="S415">
        <v>0.5</v>
      </c>
      <c r="T415">
        <v>1</v>
      </c>
      <c r="U415">
        <v>0.6</v>
      </c>
      <c r="W415">
        <v>42</v>
      </c>
      <c r="X415">
        <v>16</v>
      </c>
      <c r="Y415" t="s">
        <v>846</v>
      </c>
    </row>
    <row r="416" spans="1:25">
      <c r="A416" t="s">
        <v>1064</v>
      </c>
      <c r="B416" s="2" t="str">
        <f>Hyperlink("https://www.diodes.com/datasheet/download/DMN2710UT.pdf")</f>
        <v>https://www.diodes.com/datasheet/download/DMN2710UT.pdf</v>
      </c>
      <c r="C416" t="str">
        <f>Hyperlink("https://www.diodes.com/part/view/DMN2710UT","DMN2710UT")</f>
        <v>DMN2710UT</v>
      </c>
      <c r="D416" t="s">
        <v>26</v>
      </c>
      <c r="E416" t="s">
        <v>30</v>
      </c>
      <c r="F416" t="s">
        <v>28</v>
      </c>
      <c r="G416" t="s">
        <v>29</v>
      </c>
      <c r="H416" t="s">
        <v>27</v>
      </c>
      <c r="I416">
        <v>20</v>
      </c>
      <c r="J416">
        <v>6</v>
      </c>
      <c r="K416">
        <v>0.87</v>
      </c>
      <c r="M416">
        <v>0.52</v>
      </c>
      <c r="P416">
        <v>450</v>
      </c>
      <c r="Q416">
        <v>600</v>
      </c>
      <c r="R416">
        <v>750</v>
      </c>
      <c r="S416">
        <v>0.5</v>
      </c>
      <c r="T416">
        <v>1</v>
      </c>
      <c r="U416">
        <v>0.6</v>
      </c>
      <c r="W416">
        <v>42</v>
      </c>
      <c r="X416">
        <v>16</v>
      </c>
      <c r="Y416" t="s">
        <v>56</v>
      </c>
    </row>
    <row r="417" spans="1:25">
      <c r="A417" t="s">
        <v>1065</v>
      </c>
      <c r="B417" s="2" t="str">
        <f>Hyperlink("https://www.diodes.com/datasheet/download/DMN2710UTQ.pdf")</f>
        <v>https://www.diodes.com/datasheet/download/DMN2710UTQ.pdf</v>
      </c>
      <c r="C417" t="str">
        <f>Hyperlink("https://www.diodes.com/part/view/DMN2710UTQ","DMN2710UTQ")</f>
        <v>DMN2710UTQ</v>
      </c>
      <c r="D417" t="s">
        <v>26</v>
      </c>
      <c r="E417" t="s">
        <v>27</v>
      </c>
      <c r="F417" t="s">
        <v>37</v>
      </c>
      <c r="G417" t="s">
        <v>29</v>
      </c>
      <c r="H417" t="s">
        <v>27</v>
      </c>
      <c r="I417">
        <v>20</v>
      </c>
      <c r="J417">
        <v>6</v>
      </c>
      <c r="K417">
        <v>0.87</v>
      </c>
      <c r="M417">
        <v>0.52</v>
      </c>
      <c r="P417">
        <v>450</v>
      </c>
      <c r="Q417">
        <v>600</v>
      </c>
      <c r="R417">
        <v>750</v>
      </c>
      <c r="S417">
        <v>0.5</v>
      </c>
      <c r="T417">
        <v>1</v>
      </c>
      <c r="U417">
        <v>0.6</v>
      </c>
      <c r="W417">
        <v>42</v>
      </c>
      <c r="X417">
        <v>16</v>
      </c>
      <c r="Y417" t="s">
        <v>56</v>
      </c>
    </row>
    <row r="418" spans="1:25">
      <c r="A418" t="s">
        <v>1066</v>
      </c>
      <c r="B418" s="2" t="str">
        <f>Hyperlink("https://www.diodes.com/datasheet/download/DMN2710UV.pdf")</f>
        <v>https://www.diodes.com/datasheet/download/DMN2710UV.pdf</v>
      </c>
      <c r="C418" t="str">
        <f>Hyperlink("https://www.diodes.com/part/view/DMN2710UV","DMN2710UV")</f>
        <v>DMN2710UV</v>
      </c>
      <c r="D418" t="s">
        <v>1067</v>
      </c>
      <c r="E418" t="s">
        <v>30</v>
      </c>
      <c r="F418" t="s">
        <v>28</v>
      </c>
      <c r="G418" t="s">
        <v>40</v>
      </c>
      <c r="H418" t="s">
        <v>27</v>
      </c>
      <c r="I418">
        <v>20</v>
      </c>
      <c r="J418">
        <v>6</v>
      </c>
      <c r="K418">
        <v>0.92</v>
      </c>
      <c r="M418">
        <v>0.5</v>
      </c>
      <c r="P418">
        <v>450</v>
      </c>
      <c r="Q418">
        <v>600</v>
      </c>
      <c r="R418">
        <v>750</v>
      </c>
      <c r="S418">
        <v>0.5</v>
      </c>
      <c r="T418">
        <v>1</v>
      </c>
      <c r="U418">
        <v>0.6</v>
      </c>
      <c r="W418">
        <v>42</v>
      </c>
      <c r="X418">
        <v>16</v>
      </c>
      <c r="Y418" t="s">
        <v>60</v>
      </c>
    </row>
    <row r="419" spans="1:25">
      <c r="A419" t="s">
        <v>1068</v>
      </c>
      <c r="B419" s="2" t="str">
        <f>Hyperlink("https://www.diodes.com/datasheet/download/DMN2710UVQ.pdf")</f>
        <v>https://www.diodes.com/datasheet/download/DMN2710UVQ.pdf</v>
      </c>
      <c r="C419" t="str">
        <f>Hyperlink("https://www.diodes.com/part/view/DMN2710UVQ","DMN2710UVQ")</f>
        <v>DMN2710UVQ</v>
      </c>
      <c r="D419" t="s">
        <v>1067</v>
      </c>
      <c r="E419" t="s">
        <v>27</v>
      </c>
      <c r="F419" t="s">
        <v>37</v>
      </c>
      <c r="G419" t="s">
        <v>40</v>
      </c>
      <c r="H419" t="s">
        <v>27</v>
      </c>
      <c r="I419">
        <v>20</v>
      </c>
      <c r="J419">
        <v>6</v>
      </c>
      <c r="K419">
        <v>0.92</v>
      </c>
      <c r="M419">
        <v>0.5</v>
      </c>
      <c r="P419">
        <v>450</v>
      </c>
      <c r="Q419">
        <v>600</v>
      </c>
      <c r="R419">
        <v>750</v>
      </c>
      <c r="S419">
        <v>0.5</v>
      </c>
      <c r="T419">
        <v>1</v>
      </c>
      <c r="U419">
        <v>0.6</v>
      </c>
      <c r="W419">
        <v>42</v>
      </c>
      <c r="X419">
        <v>16</v>
      </c>
      <c r="Y419" t="s">
        <v>60</v>
      </c>
    </row>
    <row r="420" spans="1:25">
      <c r="A420" t="s">
        <v>1069</v>
      </c>
      <c r="B420" s="2" t="str">
        <f>Hyperlink("https://www.diodes.com/datasheet/download/DMN2710UW.pdf")</f>
        <v>https://www.diodes.com/datasheet/download/DMN2710UW.pdf</v>
      </c>
      <c r="C420" t="str">
        <f>Hyperlink("https://www.diodes.com/part/view/DMN2710UW","DMN2710UW")</f>
        <v>DMN2710UW</v>
      </c>
      <c r="D420" t="s">
        <v>26</v>
      </c>
      <c r="E420" t="s">
        <v>30</v>
      </c>
      <c r="F420" t="s">
        <v>28</v>
      </c>
      <c r="G420" t="s">
        <v>29</v>
      </c>
      <c r="H420" t="s">
        <v>27</v>
      </c>
      <c r="I420">
        <v>20</v>
      </c>
      <c r="J420">
        <v>6</v>
      </c>
      <c r="K420">
        <v>0.9</v>
      </c>
      <c r="M420">
        <v>0.6</v>
      </c>
      <c r="P420">
        <v>450</v>
      </c>
      <c r="Q420">
        <v>600</v>
      </c>
      <c r="R420">
        <v>750</v>
      </c>
      <c r="S420">
        <v>0.5</v>
      </c>
      <c r="T420">
        <v>1</v>
      </c>
      <c r="U420">
        <v>0.6</v>
      </c>
      <c r="W420">
        <v>42</v>
      </c>
      <c r="X420">
        <v>16</v>
      </c>
      <c r="Y420" t="s">
        <v>92</v>
      </c>
    </row>
    <row r="421" spans="1:25">
      <c r="A421" t="s">
        <v>1070</v>
      </c>
      <c r="B421" s="2" t="str">
        <f>Hyperlink("https://www.diodes.com/datasheet/download/DMN2710UWQ.pdf")</f>
        <v>https://www.diodes.com/datasheet/download/DMN2710UWQ.pdf</v>
      </c>
      <c r="C421" t="str">
        <f>Hyperlink("https://www.diodes.com/part/view/DMN2710UWQ","DMN2710UWQ")</f>
        <v>DMN2710UWQ</v>
      </c>
      <c r="D421" t="s">
        <v>26</v>
      </c>
      <c r="E421" t="s">
        <v>27</v>
      </c>
      <c r="F421" t="s">
        <v>37</v>
      </c>
      <c r="G421" t="s">
        <v>29</v>
      </c>
      <c r="H421" t="s">
        <v>27</v>
      </c>
      <c r="I421">
        <v>20</v>
      </c>
      <c r="J421">
        <v>6</v>
      </c>
      <c r="K421">
        <v>0.9</v>
      </c>
      <c r="M421">
        <v>0.6</v>
      </c>
      <c r="P421">
        <v>450</v>
      </c>
      <c r="Q421">
        <v>600</v>
      </c>
      <c r="R421">
        <v>750</v>
      </c>
      <c r="S421">
        <v>0.5</v>
      </c>
      <c r="T421">
        <v>1</v>
      </c>
      <c r="U421">
        <v>0.6</v>
      </c>
      <c r="W421">
        <v>42</v>
      </c>
      <c r="X421">
        <v>16</v>
      </c>
      <c r="Y421" t="s">
        <v>92</v>
      </c>
    </row>
    <row r="422" spans="1:25">
      <c r="A422" t="s">
        <v>1071</v>
      </c>
      <c r="B422" s="2" t="str">
        <f>Hyperlink("https://www.diodes.com/datasheet/download/DMN2990UDJ.pdf")</f>
        <v>https://www.diodes.com/datasheet/download/DMN2990UDJ.pdf</v>
      </c>
      <c r="C422" t="str">
        <f>Hyperlink("https://www.diodes.com/part/view/DMN2990UDJ","DMN2990UDJ")</f>
        <v>DMN2990UDJ</v>
      </c>
      <c r="D422" t="s">
        <v>631</v>
      </c>
      <c r="E422" t="s">
        <v>27</v>
      </c>
      <c r="F422" t="s">
        <v>28</v>
      </c>
      <c r="G422" t="s">
        <v>40</v>
      </c>
      <c r="H422" t="s">
        <v>27</v>
      </c>
      <c r="I422">
        <v>20</v>
      </c>
      <c r="J422">
        <v>8</v>
      </c>
      <c r="K422">
        <v>0.45</v>
      </c>
      <c r="M422">
        <v>0.35</v>
      </c>
      <c r="P422">
        <v>990</v>
      </c>
      <c r="Q422">
        <v>1200</v>
      </c>
      <c r="R422">
        <v>1800</v>
      </c>
      <c r="S422">
        <v>0.4</v>
      </c>
      <c r="T422">
        <v>1</v>
      </c>
      <c r="U422">
        <v>0.5</v>
      </c>
      <c r="W422">
        <v>28</v>
      </c>
      <c r="Y422" t="s">
        <v>358</v>
      </c>
    </row>
    <row r="423" spans="1:25">
      <c r="A423" t="s">
        <v>1072</v>
      </c>
      <c r="B423" s="2" t="str">
        <f>Hyperlink("https://www.diodes.com/datasheet/download/DMN2990UDJQ.pdf")</f>
        <v>https://www.diodes.com/datasheet/download/DMN2990UDJQ.pdf</v>
      </c>
      <c r="C423" t="str">
        <f>Hyperlink("https://www.diodes.com/part/view/DMN2990UDJQ","DMN2990UDJQ")</f>
        <v>DMN2990UDJQ</v>
      </c>
      <c r="D423" t="s">
        <v>39</v>
      </c>
      <c r="E423" t="s">
        <v>27</v>
      </c>
      <c r="F423" t="s">
        <v>37</v>
      </c>
      <c r="G423" t="s">
        <v>40</v>
      </c>
      <c r="H423" t="s">
        <v>27</v>
      </c>
      <c r="I423">
        <v>20</v>
      </c>
      <c r="J423">
        <v>8</v>
      </c>
      <c r="K423">
        <v>0.45</v>
      </c>
      <c r="M423">
        <v>0.35</v>
      </c>
      <c r="P423">
        <v>990</v>
      </c>
      <c r="Q423">
        <v>1200</v>
      </c>
      <c r="R423">
        <v>1800</v>
      </c>
      <c r="S423">
        <v>0.4</v>
      </c>
      <c r="T423">
        <v>1</v>
      </c>
      <c r="U423">
        <v>0.5</v>
      </c>
      <c r="W423">
        <v>27.6</v>
      </c>
      <c r="X423">
        <v>16</v>
      </c>
      <c r="Y423" t="s">
        <v>358</v>
      </c>
    </row>
    <row r="424" spans="1:25">
      <c r="A424" t="s">
        <v>1073</v>
      </c>
      <c r="B424" s="2" t="str">
        <f>Hyperlink("https://www.diodes.com/datasheet/download/DMN2990UFA.pdf")</f>
        <v>https://www.diodes.com/datasheet/download/DMN2990UFA.pdf</v>
      </c>
      <c r="C424" t="str">
        <f>Hyperlink("https://www.diodes.com/part/view/DMN2990UFA","DMN2990UFA")</f>
        <v>DMN2990UFA</v>
      </c>
      <c r="D424" t="s">
        <v>631</v>
      </c>
      <c r="E424" t="s">
        <v>27</v>
      </c>
      <c r="F424" t="s">
        <v>28</v>
      </c>
      <c r="G424" t="s">
        <v>29</v>
      </c>
      <c r="H424" t="s">
        <v>27</v>
      </c>
      <c r="I424">
        <v>20</v>
      </c>
      <c r="J424">
        <v>8</v>
      </c>
      <c r="K424">
        <v>0.51</v>
      </c>
      <c r="M424">
        <v>0.4</v>
      </c>
      <c r="P424">
        <v>990</v>
      </c>
      <c r="Q424">
        <v>1200</v>
      </c>
      <c r="R424">
        <v>1800</v>
      </c>
      <c r="S424">
        <v>0.4</v>
      </c>
      <c r="T424">
        <v>1</v>
      </c>
      <c r="U424">
        <v>0.5</v>
      </c>
      <c r="W424">
        <v>28</v>
      </c>
      <c r="Y424" t="s">
        <v>855</v>
      </c>
    </row>
    <row r="425" spans="1:25">
      <c r="A425" t="s">
        <v>1074</v>
      </c>
      <c r="B425" s="2" t="str">
        <f>Hyperlink("https://www.diodes.com/datasheet/download/DMN2990UFB.pdf")</f>
        <v>https://www.diodes.com/datasheet/download/DMN2990UFB.pdf</v>
      </c>
      <c r="C425" t="str">
        <f>Hyperlink("https://www.diodes.com/part/view/DMN2990UFB","DMN2990UFB")</f>
        <v>DMN2990UFB</v>
      </c>
      <c r="D425" t="s">
        <v>905</v>
      </c>
      <c r="E425" t="s">
        <v>27</v>
      </c>
      <c r="F425" t="s">
        <v>28</v>
      </c>
      <c r="G425" t="s">
        <v>29</v>
      </c>
      <c r="H425" t="s">
        <v>27</v>
      </c>
      <c r="I425">
        <v>20</v>
      </c>
      <c r="J425">
        <v>8</v>
      </c>
      <c r="K425">
        <v>0.78</v>
      </c>
      <c r="M425">
        <v>0.92</v>
      </c>
      <c r="P425">
        <v>900</v>
      </c>
      <c r="Q425">
        <v>1200</v>
      </c>
      <c r="R425">
        <v>1800</v>
      </c>
      <c r="S425">
        <v>0.4</v>
      </c>
      <c r="T425">
        <v>1</v>
      </c>
      <c r="U425">
        <v>0.41</v>
      </c>
      <c r="W425">
        <v>31</v>
      </c>
      <c r="X425">
        <v>15</v>
      </c>
      <c r="Y425" t="s">
        <v>846</v>
      </c>
    </row>
    <row r="426" spans="1:25">
      <c r="A426" t="s">
        <v>1075</v>
      </c>
      <c r="B426" s="2" t="str">
        <f>Hyperlink("https://www.diodes.com/datasheet/download/DMN2990UFO.pdf")</f>
        <v>https://www.diodes.com/datasheet/download/DMN2990UFO.pdf</v>
      </c>
      <c r="C426" t="str">
        <f>Hyperlink("https://www.diodes.com/part/view/DMN2990UFO","DMN2990UFO")</f>
        <v>DMN2990UFO</v>
      </c>
      <c r="D426" t="s">
        <v>905</v>
      </c>
      <c r="E426" t="s">
        <v>30</v>
      </c>
      <c r="F426" t="s">
        <v>28</v>
      </c>
      <c r="G426" t="s">
        <v>29</v>
      </c>
      <c r="H426" t="s">
        <v>27</v>
      </c>
      <c r="I426">
        <v>20</v>
      </c>
      <c r="J426">
        <v>8</v>
      </c>
      <c r="K426">
        <v>0.75</v>
      </c>
      <c r="M426">
        <v>0.84</v>
      </c>
      <c r="P426">
        <v>990</v>
      </c>
      <c r="Q426">
        <v>1200</v>
      </c>
      <c r="R426">
        <v>1800</v>
      </c>
      <c r="S426">
        <v>0.4</v>
      </c>
      <c r="T426">
        <v>1</v>
      </c>
      <c r="U426">
        <v>0.41</v>
      </c>
      <c r="W426">
        <v>31</v>
      </c>
      <c r="X426">
        <v>15</v>
      </c>
      <c r="Y426" t="s">
        <v>1076</v>
      </c>
    </row>
    <row r="427" spans="1:25">
      <c r="A427" t="s">
        <v>1077</v>
      </c>
      <c r="B427" s="2" t="str">
        <f>Hyperlink("https://www.diodes.com/datasheet/download/DMN2990UFZ.pdf")</f>
        <v>https://www.diodes.com/datasheet/download/DMN2990UFZ.pdf</v>
      </c>
      <c r="C427" t="str">
        <f>Hyperlink("https://www.diodes.com/part/view/DMN2990UFZ","DMN2990UFZ")</f>
        <v>DMN2990UFZ</v>
      </c>
      <c r="D427" t="s">
        <v>631</v>
      </c>
      <c r="E427" t="s">
        <v>27</v>
      </c>
      <c r="F427" t="s">
        <v>28</v>
      </c>
      <c r="G427" t="s">
        <v>29</v>
      </c>
      <c r="H427" t="s">
        <v>27</v>
      </c>
      <c r="I427">
        <v>20</v>
      </c>
      <c r="J427">
        <v>8</v>
      </c>
      <c r="K427">
        <v>0.25</v>
      </c>
      <c r="M427">
        <v>0.32</v>
      </c>
      <c r="P427">
        <v>990</v>
      </c>
      <c r="Q427">
        <v>1200</v>
      </c>
      <c r="R427">
        <v>1800</v>
      </c>
      <c r="S427">
        <v>0.4</v>
      </c>
      <c r="T427">
        <v>1</v>
      </c>
      <c r="U427">
        <v>0.5</v>
      </c>
      <c r="W427">
        <v>28</v>
      </c>
      <c r="Y427" t="s">
        <v>1078</v>
      </c>
    </row>
    <row r="428" spans="1:25">
      <c r="A428" t="s">
        <v>1079</v>
      </c>
      <c r="B428" s="2" t="str">
        <f>Hyperlink("https://www.diodes.com/datasheet/download/DMN2991UDA.pdf")</f>
        <v>https://www.diodes.com/datasheet/download/DMN2991UDA.pdf</v>
      </c>
      <c r="C428" t="str">
        <f>Hyperlink("https://www.diodes.com/part/view/DMN2991UDA","DMN2991UDA")</f>
        <v>DMN2991UDA</v>
      </c>
      <c r="D428" t="s">
        <v>39</v>
      </c>
      <c r="E428" t="s">
        <v>30</v>
      </c>
      <c r="F428" t="s">
        <v>28</v>
      </c>
      <c r="G428" t="s">
        <v>40</v>
      </c>
      <c r="H428" t="s">
        <v>27</v>
      </c>
      <c r="I428">
        <v>20</v>
      </c>
      <c r="J428">
        <v>8</v>
      </c>
      <c r="K428">
        <v>0.45</v>
      </c>
      <c r="M428">
        <v>0.31</v>
      </c>
      <c r="P428">
        <v>990</v>
      </c>
      <c r="Q428">
        <v>1200</v>
      </c>
      <c r="R428">
        <v>1800</v>
      </c>
      <c r="S428">
        <v>0.4</v>
      </c>
      <c r="T428">
        <v>1</v>
      </c>
      <c r="U428">
        <v>0.35</v>
      </c>
      <c r="W428">
        <v>21.5</v>
      </c>
      <c r="X428">
        <v>16</v>
      </c>
      <c r="Y428" t="s">
        <v>298</v>
      </c>
    </row>
    <row r="429" spans="1:25">
      <c r="A429" t="s">
        <v>1080</v>
      </c>
      <c r="B429" s="2" t="str">
        <f>Hyperlink("https://www.diodes.com/datasheet/download/DMN2991UDJ.pdf")</f>
        <v>https://www.diodes.com/datasheet/download/DMN2991UDJ.pdf</v>
      </c>
      <c r="C429" t="str">
        <f>Hyperlink("https://www.diodes.com/part/view/DMN2991UDJ","DMN2991UDJ")</f>
        <v>DMN2991UDJ</v>
      </c>
      <c r="D429" t="s">
        <v>39</v>
      </c>
      <c r="E429" t="s">
        <v>30</v>
      </c>
      <c r="F429" t="s">
        <v>28</v>
      </c>
      <c r="G429" t="s">
        <v>40</v>
      </c>
      <c r="H429" t="s">
        <v>27</v>
      </c>
      <c r="I429">
        <v>20</v>
      </c>
      <c r="J429">
        <v>8</v>
      </c>
      <c r="K429">
        <v>0.5</v>
      </c>
      <c r="M429">
        <v>0.38</v>
      </c>
      <c r="P429">
        <v>990</v>
      </c>
      <c r="Q429">
        <v>1200</v>
      </c>
      <c r="R429">
        <v>1800</v>
      </c>
      <c r="S429">
        <v>0.4</v>
      </c>
      <c r="T429">
        <v>1</v>
      </c>
      <c r="U429">
        <v>0.35</v>
      </c>
      <c r="W429">
        <v>21.5</v>
      </c>
      <c r="X429">
        <v>15</v>
      </c>
      <c r="Y429" t="s">
        <v>358</v>
      </c>
    </row>
    <row r="430" spans="1:25">
      <c r="A430" t="s">
        <v>1081</v>
      </c>
      <c r="B430" s="2" t="str">
        <f>Hyperlink("https://www.diodes.com/datasheet/download/DMN2991UDR4.pdf")</f>
        <v>https://www.diodes.com/datasheet/download/DMN2991UDR4.pdf</v>
      </c>
      <c r="C430" t="str">
        <f>Hyperlink("https://www.diodes.com/part/view/DMN2991UDR4","DMN2991UDR4")</f>
        <v>DMN2991UDR4</v>
      </c>
      <c r="D430" t="s">
        <v>1067</v>
      </c>
      <c r="E430" t="s">
        <v>30</v>
      </c>
      <c r="F430" t="s">
        <v>28</v>
      </c>
      <c r="G430" t="s">
        <v>40</v>
      </c>
      <c r="H430" t="s">
        <v>27</v>
      </c>
      <c r="I430">
        <v>20</v>
      </c>
      <c r="J430">
        <v>8</v>
      </c>
      <c r="K430">
        <v>0.5</v>
      </c>
      <c r="M430">
        <v>0.7</v>
      </c>
      <c r="P430">
        <v>990</v>
      </c>
      <c r="Q430">
        <v>1200</v>
      </c>
      <c r="R430">
        <v>1800</v>
      </c>
      <c r="S430">
        <v>0.4</v>
      </c>
      <c r="T430">
        <v>1</v>
      </c>
      <c r="U430">
        <v>0.28</v>
      </c>
      <c r="W430">
        <v>14.6</v>
      </c>
      <c r="X430">
        <v>16</v>
      </c>
      <c r="Y430" t="s">
        <v>372</v>
      </c>
    </row>
    <row r="431" spans="1:25">
      <c r="A431" t="s">
        <v>1082</v>
      </c>
      <c r="B431" s="2" t="str">
        <f>Hyperlink("https://www.diodes.com/datasheet/download/DMN2991UFA.pdf")</f>
        <v>https://www.diodes.com/datasheet/download/DMN2991UFA.pdf</v>
      </c>
      <c r="C431" t="str">
        <f>Hyperlink("https://www.diodes.com/part/view/DMN2991UFA","DMN2991UFA")</f>
        <v>DMN2991UFA</v>
      </c>
      <c r="D431" t="s">
        <v>888</v>
      </c>
      <c r="E431" t="s">
        <v>30</v>
      </c>
      <c r="F431" t="s">
        <v>28</v>
      </c>
      <c r="G431" t="s">
        <v>29</v>
      </c>
      <c r="H431" t="s">
        <v>27</v>
      </c>
      <c r="I431">
        <v>20</v>
      </c>
      <c r="J431">
        <v>8</v>
      </c>
      <c r="K431">
        <v>0.52</v>
      </c>
      <c r="M431">
        <v>0.42</v>
      </c>
      <c r="P431">
        <v>990</v>
      </c>
      <c r="Q431">
        <v>1200</v>
      </c>
      <c r="R431">
        <v>1800</v>
      </c>
      <c r="S431">
        <v>0.4</v>
      </c>
      <c r="T431">
        <v>1</v>
      </c>
      <c r="U431">
        <v>0.28</v>
      </c>
      <c r="W431">
        <v>14.6</v>
      </c>
      <c r="X431">
        <v>16</v>
      </c>
      <c r="Y431" t="s">
        <v>855</v>
      </c>
    </row>
    <row r="432" spans="1:25">
      <c r="A432" t="s">
        <v>1083</v>
      </c>
      <c r="B432" s="2" t="str">
        <f>Hyperlink("https://www.diodes.com/datasheet/download/DMN2991UFB4.pdf")</f>
        <v>https://www.diodes.com/datasheet/download/DMN2991UFB4.pdf</v>
      </c>
      <c r="C432" t="str">
        <f>Hyperlink("https://www.diodes.com/part/view/DMN2991UFB4","DMN2991UFB4")</f>
        <v>DMN2991UFB4</v>
      </c>
      <c r="D432" t="s">
        <v>905</v>
      </c>
      <c r="E432" t="s">
        <v>27</v>
      </c>
      <c r="F432" t="s">
        <v>28</v>
      </c>
      <c r="G432" t="s">
        <v>29</v>
      </c>
      <c r="H432" t="s">
        <v>27</v>
      </c>
      <c r="I432">
        <v>20</v>
      </c>
      <c r="J432">
        <v>8</v>
      </c>
      <c r="K432">
        <v>0.5</v>
      </c>
      <c r="M432">
        <v>0.36</v>
      </c>
      <c r="P432">
        <v>990</v>
      </c>
      <c r="Q432">
        <v>1200</v>
      </c>
      <c r="R432">
        <v>1800</v>
      </c>
      <c r="S432">
        <v>0.4</v>
      </c>
      <c r="T432">
        <v>1</v>
      </c>
      <c r="U432">
        <v>0.28</v>
      </c>
      <c r="W432">
        <v>14.6</v>
      </c>
      <c r="X432">
        <v>16</v>
      </c>
      <c r="Y432" t="s">
        <v>901</v>
      </c>
    </row>
    <row r="433" spans="1:25">
      <c r="A433" t="s">
        <v>1084</v>
      </c>
      <c r="B433" s="2" t="str">
        <f>Hyperlink("https://www.diodes.com/datasheet/download/DMN2991UFB4Q.pdf")</f>
        <v>https://www.diodes.com/datasheet/download/DMN2991UFB4Q.pdf</v>
      </c>
      <c r="C433" t="str">
        <f>Hyperlink("https://www.diodes.com/part/view/DMN2991UFB4Q","DMN2991UFB4Q")</f>
        <v>DMN2991UFB4Q</v>
      </c>
      <c r="D433" t="s">
        <v>905</v>
      </c>
      <c r="E433" t="s">
        <v>27</v>
      </c>
      <c r="F433" t="s">
        <v>37</v>
      </c>
      <c r="G433" t="s">
        <v>29</v>
      </c>
      <c r="H433" t="s">
        <v>27</v>
      </c>
      <c r="I433">
        <v>20</v>
      </c>
      <c r="J433">
        <v>8</v>
      </c>
      <c r="K433">
        <v>0.5</v>
      </c>
      <c r="M433">
        <v>0.36</v>
      </c>
      <c r="P433">
        <v>990</v>
      </c>
      <c r="Q433">
        <v>1200</v>
      </c>
      <c r="R433">
        <v>1800</v>
      </c>
      <c r="S433">
        <v>0.4</v>
      </c>
      <c r="T433">
        <v>1</v>
      </c>
      <c r="U433">
        <v>0.28</v>
      </c>
      <c r="W433">
        <v>14.6</v>
      </c>
      <c r="X433">
        <v>16</v>
      </c>
      <c r="Y433" t="s">
        <v>901</v>
      </c>
    </row>
    <row r="434" spans="1:25">
      <c r="A434" t="s">
        <v>1085</v>
      </c>
      <c r="B434" s="2" t="str">
        <f>Hyperlink("https://www.diodes.com/datasheet/download/DMN2991UFO.pdf")</f>
        <v>https://www.diodes.com/datasheet/download/DMN2991UFO.pdf</v>
      </c>
      <c r="C434" t="str">
        <f>Hyperlink("https://www.diodes.com/part/view/DMN2991UFO","DMN2991UFO")</f>
        <v>DMN2991UFO</v>
      </c>
      <c r="D434" t="s">
        <v>905</v>
      </c>
      <c r="E434" t="s">
        <v>30</v>
      </c>
      <c r="F434" t="s">
        <v>28</v>
      </c>
      <c r="G434" t="s">
        <v>29</v>
      </c>
      <c r="H434" t="s">
        <v>27</v>
      </c>
      <c r="I434">
        <v>20</v>
      </c>
      <c r="J434">
        <v>8</v>
      </c>
      <c r="K434">
        <v>0.54</v>
      </c>
      <c r="M434">
        <v>0.44</v>
      </c>
      <c r="P434">
        <v>990</v>
      </c>
      <c r="Q434">
        <v>1200</v>
      </c>
      <c r="R434">
        <v>1800</v>
      </c>
      <c r="S434">
        <v>0.4</v>
      </c>
      <c r="T434">
        <v>1</v>
      </c>
      <c r="U434">
        <v>0.35</v>
      </c>
      <c r="W434">
        <v>21.5</v>
      </c>
      <c r="X434">
        <v>15</v>
      </c>
      <c r="Y434" t="s">
        <v>1076</v>
      </c>
    </row>
    <row r="435" spans="1:25">
      <c r="A435" t="s">
        <v>1086</v>
      </c>
      <c r="B435" s="2" t="str">
        <f>Hyperlink("https://www.diodes.com/datasheet/download/DMN2991UFZ.pdf")</f>
        <v>https://www.diodes.com/datasheet/download/DMN2991UFZ.pdf</v>
      </c>
      <c r="C435" t="str">
        <f>Hyperlink("https://www.diodes.com/part/view/DMN2991UFZ","DMN2991UFZ")</f>
        <v>DMN2991UFZ</v>
      </c>
      <c r="D435" t="s">
        <v>905</v>
      </c>
      <c r="E435" t="s">
        <v>30</v>
      </c>
      <c r="F435" t="s">
        <v>28</v>
      </c>
      <c r="G435" t="s">
        <v>29</v>
      </c>
      <c r="H435" t="s">
        <v>27</v>
      </c>
      <c r="I435">
        <v>20</v>
      </c>
      <c r="J435">
        <v>8</v>
      </c>
      <c r="K435">
        <v>0.55</v>
      </c>
      <c r="M435">
        <v>0.53</v>
      </c>
      <c r="P435">
        <v>990</v>
      </c>
      <c r="Q435">
        <v>1200</v>
      </c>
      <c r="R435">
        <v>1800</v>
      </c>
      <c r="S435">
        <v>0.4</v>
      </c>
      <c r="T435">
        <v>1</v>
      </c>
      <c r="U435">
        <v>0.35</v>
      </c>
      <c r="W435">
        <v>21.5</v>
      </c>
      <c r="X435">
        <v>16</v>
      </c>
      <c r="Y435" t="s">
        <v>1078</v>
      </c>
    </row>
    <row r="436" spans="1:25">
      <c r="A436" t="s">
        <v>1087</v>
      </c>
      <c r="B436" s="2" t="str">
        <f>Hyperlink("https://www.diodes.com/datasheet/download/DMN2991UFZQ.pdf")</f>
        <v>https://www.diodes.com/datasheet/download/DMN2991UFZQ.pdf</v>
      </c>
      <c r="C436" t="str">
        <f>Hyperlink("https://www.diodes.com/part/view/DMN2991UFZQ","DMN2991UFZQ")</f>
        <v>DMN2991UFZQ</v>
      </c>
      <c r="D436" t="s">
        <v>905</v>
      </c>
      <c r="E436" t="s">
        <v>27</v>
      </c>
      <c r="F436" t="s">
        <v>37</v>
      </c>
      <c r="G436" t="s">
        <v>29</v>
      </c>
      <c r="H436" t="s">
        <v>27</v>
      </c>
      <c r="I436">
        <v>20</v>
      </c>
      <c r="J436">
        <v>8</v>
      </c>
      <c r="K436">
        <v>0.55</v>
      </c>
      <c r="M436">
        <v>0.53</v>
      </c>
      <c r="P436">
        <v>990</v>
      </c>
      <c r="Q436">
        <v>1200</v>
      </c>
      <c r="R436">
        <v>1800</v>
      </c>
      <c r="S436">
        <v>0.4</v>
      </c>
      <c r="T436">
        <v>1</v>
      </c>
      <c r="U436">
        <v>0.28</v>
      </c>
      <c r="W436">
        <v>14.6</v>
      </c>
      <c r="X436">
        <v>16</v>
      </c>
      <c r="Y436" t="s">
        <v>1078</v>
      </c>
    </row>
    <row r="437" spans="1:25">
      <c r="A437" t="s">
        <v>1088</v>
      </c>
      <c r="B437" s="2" t="str">
        <f>Hyperlink("https://www.diodes.com/datasheet/download/DMN2991UT.pdf")</f>
        <v>https://www.diodes.com/datasheet/download/DMN2991UT.pdf</v>
      </c>
      <c r="C437" t="str">
        <f>Hyperlink("https://www.diodes.com/part/view/DMN2991UT","DMN2991UT")</f>
        <v>DMN2991UT</v>
      </c>
      <c r="D437" t="s">
        <v>26</v>
      </c>
      <c r="E437" t="s">
        <v>30</v>
      </c>
      <c r="F437" t="s">
        <v>28</v>
      </c>
      <c r="G437" t="s">
        <v>29</v>
      </c>
      <c r="H437" t="s">
        <v>27</v>
      </c>
      <c r="I437">
        <v>20</v>
      </c>
      <c r="J437">
        <v>10</v>
      </c>
      <c r="K437">
        <v>0.3</v>
      </c>
      <c r="M437">
        <v>0.43</v>
      </c>
      <c r="P437">
        <v>3000</v>
      </c>
      <c r="Q437">
        <v>4000</v>
      </c>
      <c r="R437">
        <v>6000</v>
      </c>
      <c r="S437">
        <v>0.5</v>
      </c>
      <c r="T437">
        <v>1</v>
      </c>
      <c r="U437">
        <v>0.35</v>
      </c>
      <c r="W437">
        <v>21.5</v>
      </c>
      <c r="X437">
        <v>15</v>
      </c>
      <c r="Y437" t="s">
        <v>56</v>
      </c>
    </row>
    <row r="438" spans="1:25">
      <c r="A438" t="s">
        <v>1089</v>
      </c>
      <c r="B438" s="2" t="str">
        <f>Hyperlink("https://www.diodes.com/datasheet/download/DMN2991UTQ.pdf")</f>
        <v>https://www.diodes.com/datasheet/download/DMN2991UTQ.pdf</v>
      </c>
      <c r="C438" t="str">
        <f>Hyperlink("https://www.diodes.com/part/view/DMN2991UTQ","DMN2991UTQ")</f>
        <v>DMN2991UTQ</v>
      </c>
      <c r="D438" t="s">
        <v>26</v>
      </c>
      <c r="E438" t="s">
        <v>27</v>
      </c>
      <c r="F438" t="s">
        <v>37</v>
      </c>
      <c r="G438" t="s">
        <v>29</v>
      </c>
      <c r="H438" t="s">
        <v>27</v>
      </c>
      <c r="I438">
        <v>20</v>
      </c>
      <c r="J438">
        <v>10</v>
      </c>
      <c r="K438">
        <v>0.3</v>
      </c>
      <c r="M438">
        <v>0.43</v>
      </c>
      <c r="P438">
        <v>3000</v>
      </c>
      <c r="Q438">
        <v>4000</v>
      </c>
      <c r="R438">
        <v>6000</v>
      </c>
      <c r="S438">
        <v>0.5</v>
      </c>
      <c r="T438">
        <v>1</v>
      </c>
      <c r="U438">
        <v>0.35</v>
      </c>
      <c r="W438">
        <v>21.5</v>
      </c>
      <c r="X438">
        <v>15</v>
      </c>
      <c r="Y438" t="s">
        <v>56</v>
      </c>
    </row>
    <row r="439" spans="1:25">
      <c r="A439" t="s">
        <v>1090</v>
      </c>
      <c r="B439" s="2" t="str">
        <f>Hyperlink("https://www.diodes.com/datasheet/download/DMN2992UDR4.pdf")</f>
        <v>https://www.diodes.com/datasheet/download/DMN2992UDR4.pdf</v>
      </c>
      <c r="C439" t="str">
        <f>Hyperlink("https://www.diodes.com/part/view/DMN2992UDR4","DMN2992UDR4")</f>
        <v>DMN2992UDR4</v>
      </c>
      <c r="D439" t="s">
        <v>1067</v>
      </c>
      <c r="E439" t="s">
        <v>30</v>
      </c>
      <c r="F439" t="s">
        <v>28</v>
      </c>
      <c r="G439" t="s">
        <v>40</v>
      </c>
      <c r="H439" t="s">
        <v>27</v>
      </c>
      <c r="I439">
        <v>20</v>
      </c>
      <c r="J439">
        <v>8</v>
      </c>
      <c r="K439">
        <v>0.5</v>
      </c>
      <c r="M439">
        <v>0.38</v>
      </c>
      <c r="P439">
        <v>990</v>
      </c>
      <c r="Q439">
        <v>1200</v>
      </c>
      <c r="R439">
        <v>1800</v>
      </c>
      <c r="S439">
        <v>0.4</v>
      </c>
      <c r="T439">
        <v>1</v>
      </c>
      <c r="U439">
        <v>0.07</v>
      </c>
      <c r="W439">
        <v>15.6</v>
      </c>
      <c r="X439">
        <v>16</v>
      </c>
      <c r="Y439" t="s">
        <v>372</v>
      </c>
    </row>
    <row r="440" spans="1:25">
      <c r="A440" t="s">
        <v>1091</v>
      </c>
      <c r="B440" s="2" t="str">
        <f>Hyperlink("https://www.diodes.com/datasheet/download/DMN2992UFA.pdf")</f>
        <v>https://www.diodes.com/datasheet/download/DMN2992UFA.pdf</v>
      </c>
      <c r="C440" t="str">
        <f>Hyperlink("https://www.diodes.com/part/view/DMN2992UFA","DMN2992UFA")</f>
        <v>DMN2992UFA</v>
      </c>
      <c r="D440" t="s">
        <v>888</v>
      </c>
      <c r="E440" t="s">
        <v>30</v>
      </c>
      <c r="F440" t="s">
        <v>28</v>
      </c>
      <c r="G440" t="s">
        <v>29</v>
      </c>
      <c r="H440" t="s">
        <v>27</v>
      </c>
      <c r="I440">
        <v>20</v>
      </c>
      <c r="J440">
        <v>8</v>
      </c>
      <c r="K440">
        <v>0.5</v>
      </c>
      <c r="M440">
        <v>0.38</v>
      </c>
      <c r="P440">
        <v>990</v>
      </c>
      <c r="Q440">
        <v>1200</v>
      </c>
      <c r="R440">
        <v>1800</v>
      </c>
      <c r="S440">
        <v>0.4</v>
      </c>
      <c r="T440">
        <v>1</v>
      </c>
      <c r="U440">
        <v>0.07</v>
      </c>
      <c r="W440">
        <v>15.6</v>
      </c>
      <c r="X440">
        <v>16</v>
      </c>
      <c r="Y440" t="s">
        <v>855</v>
      </c>
    </row>
    <row r="441" spans="1:25">
      <c r="A441" t="s">
        <v>1092</v>
      </c>
      <c r="B441" s="2" t="str">
        <f>Hyperlink("https://www.diodes.com/datasheet/download/DMN2992UFB4.pdf")</f>
        <v>https://www.diodes.com/datasheet/download/DMN2992UFB4.pdf</v>
      </c>
      <c r="C441" t="str">
        <f>Hyperlink("https://www.diodes.com/part/view/DMN2992UFB4","DMN2992UFB4")</f>
        <v>DMN2992UFB4</v>
      </c>
      <c r="D441" t="s">
        <v>888</v>
      </c>
      <c r="E441" t="s">
        <v>30</v>
      </c>
      <c r="F441" t="s">
        <v>28</v>
      </c>
      <c r="G441" t="s">
        <v>29</v>
      </c>
      <c r="H441" t="s">
        <v>27</v>
      </c>
      <c r="I441">
        <v>20</v>
      </c>
      <c r="J441">
        <v>8</v>
      </c>
      <c r="K441">
        <v>0.83</v>
      </c>
      <c r="M441">
        <v>1.02</v>
      </c>
      <c r="P441">
        <v>990</v>
      </c>
      <c r="Q441">
        <v>1200</v>
      </c>
      <c r="R441">
        <v>1800</v>
      </c>
      <c r="S441">
        <v>0.4</v>
      </c>
      <c r="T441">
        <v>1</v>
      </c>
      <c r="U441">
        <v>0.41</v>
      </c>
      <c r="W441">
        <v>15.6</v>
      </c>
      <c r="X441">
        <v>16</v>
      </c>
      <c r="Y441" t="s">
        <v>901</v>
      </c>
    </row>
    <row r="442" spans="1:25">
      <c r="A442" t="s">
        <v>1093</v>
      </c>
      <c r="B442" s="2" t="str">
        <f>Hyperlink("https://www.diodes.com/datasheet/download/DMN2992UFB4Q.pdf")</f>
        <v>https://www.diodes.com/datasheet/download/DMN2992UFB4Q.pdf</v>
      </c>
      <c r="C442" t="str">
        <f>Hyperlink("https://www.diodes.com/part/view/DMN2992UFB4Q","DMN2992UFB4Q")</f>
        <v>DMN2992UFB4Q</v>
      </c>
      <c r="D442" t="s">
        <v>888</v>
      </c>
      <c r="E442" t="s">
        <v>27</v>
      </c>
      <c r="F442" t="s">
        <v>37</v>
      </c>
      <c r="G442" t="s">
        <v>29</v>
      </c>
      <c r="H442" t="s">
        <v>27</v>
      </c>
      <c r="I442">
        <v>20</v>
      </c>
      <c r="J442">
        <v>8</v>
      </c>
      <c r="K442">
        <v>0.83</v>
      </c>
      <c r="M442">
        <v>1.02</v>
      </c>
      <c r="P442">
        <v>990</v>
      </c>
      <c r="Q442">
        <v>1200</v>
      </c>
      <c r="R442">
        <v>1800</v>
      </c>
      <c r="S442">
        <v>0.4</v>
      </c>
      <c r="T442">
        <v>1</v>
      </c>
      <c r="U442">
        <v>0.41</v>
      </c>
      <c r="W442">
        <v>15.6</v>
      </c>
      <c r="X442">
        <v>16</v>
      </c>
      <c r="Y442" t="s">
        <v>901</v>
      </c>
    </row>
    <row r="443" spans="1:25">
      <c r="A443" t="s">
        <v>1094</v>
      </c>
      <c r="B443" s="2" t="str">
        <f>Hyperlink("https://www.diodes.com/datasheet/download/DMN2992UFO.pdf")</f>
        <v>https://www.diodes.com/datasheet/download/DMN2992UFO.pdf</v>
      </c>
      <c r="C443" t="str">
        <f>Hyperlink("https://www.diodes.com/part/view/DMN2992UFO","DMN2992UFO")</f>
        <v>DMN2992UFO</v>
      </c>
      <c r="D443" t="s">
        <v>888</v>
      </c>
      <c r="E443" t="s">
        <v>30</v>
      </c>
      <c r="F443" t="s">
        <v>28</v>
      </c>
      <c r="G443" t="s">
        <v>29</v>
      </c>
      <c r="H443" t="s">
        <v>27</v>
      </c>
      <c r="I443">
        <v>20</v>
      </c>
      <c r="J443">
        <v>8</v>
      </c>
      <c r="K443">
        <v>0.53</v>
      </c>
      <c r="M443">
        <v>0.42</v>
      </c>
      <c r="P443">
        <v>990</v>
      </c>
      <c r="Q443">
        <v>1200</v>
      </c>
      <c r="R443">
        <v>1800</v>
      </c>
      <c r="S443">
        <v>0.4</v>
      </c>
      <c r="T443">
        <v>1</v>
      </c>
      <c r="U443">
        <v>0.41</v>
      </c>
      <c r="W443">
        <v>15.6</v>
      </c>
      <c r="X443">
        <v>16</v>
      </c>
      <c r="Y443" t="s">
        <v>1076</v>
      </c>
    </row>
    <row r="444" spans="1:25">
      <c r="A444" t="s">
        <v>1095</v>
      </c>
      <c r="B444" s="2" t="str">
        <f>Hyperlink("https://www.diodes.com/datasheet/download/DMN2992UFZ.pdf")</f>
        <v>https://www.diodes.com/datasheet/download/DMN2992UFZ.pdf</v>
      </c>
      <c r="C444" t="str">
        <f>Hyperlink("https://www.diodes.com/part/view/DMN2992UFZ","DMN2992UFZ")</f>
        <v>DMN2992UFZ</v>
      </c>
      <c r="D444" t="s">
        <v>888</v>
      </c>
      <c r="E444" t="s">
        <v>30</v>
      </c>
      <c r="F444" t="s">
        <v>28</v>
      </c>
      <c r="G444" t="s">
        <v>29</v>
      </c>
      <c r="H444" t="s">
        <v>27</v>
      </c>
      <c r="I444">
        <v>20</v>
      </c>
      <c r="J444">
        <v>8</v>
      </c>
      <c r="K444">
        <v>0.25</v>
      </c>
      <c r="M444">
        <v>0.32</v>
      </c>
      <c r="P444">
        <v>990</v>
      </c>
      <c r="Q444">
        <v>1200</v>
      </c>
      <c r="R444">
        <v>1800</v>
      </c>
      <c r="S444">
        <v>0.4</v>
      </c>
      <c r="T444">
        <v>1</v>
      </c>
      <c r="U444">
        <v>0.41</v>
      </c>
      <c r="W444">
        <v>15.6</v>
      </c>
      <c r="X444">
        <v>16</v>
      </c>
      <c r="Y444" t="s">
        <v>1078</v>
      </c>
    </row>
    <row r="445" spans="1:25">
      <c r="A445" t="s">
        <v>1096</v>
      </c>
      <c r="B445" s="2" t="str">
        <f>Hyperlink("https://www.diodes.com/datasheet/download/DMN29M9UFDF.pdf")</f>
        <v>https://www.diodes.com/datasheet/download/DMN29M9UFDF.pdf</v>
      </c>
      <c r="C445" t="str">
        <f>Hyperlink("https://www.diodes.com/part/view/DMN29M9UFDF","DMN29M9UFDF")</f>
        <v>DMN29M9UFDF</v>
      </c>
      <c r="D445" t="s">
        <v>905</v>
      </c>
      <c r="E445" t="s">
        <v>30</v>
      </c>
      <c r="F445" t="s">
        <v>28</v>
      </c>
      <c r="G445" t="s">
        <v>29</v>
      </c>
      <c r="H445" t="s">
        <v>27</v>
      </c>
      <c r="I445">
        <v>20</v>
      </c>
      <c r="J445">
        <v>12</v>
      </c>
      <c r="K445">
        <v>11</v>
      </c>
      <c r="M445">
        <v>2</v>
      </c>
      <c r="P445">
        <v>13.5</v>
      </c>
      <c r="Q445">
        <v>15.5</v>
      </c>
      <c r="T445">
        <v>1.2</v>
      </c>
      <c r="U445">
        <v>7.3</v>
      </c>
      <c r="V445">
        <v>14.6</v>
      </c>
      <c r="Y445" t="s">
        <v>780</v>
      </c>
    </row>
    <row r="446" spans="1:25">
      <c r="A446" t="s">
        <v>1097</v>
      </c>
      <c r="B446" s="2" t="str">
        <f>Hyperlink("https://www.diodes.com/datasheet/download/DMN3006SCA6.pdf")</f>
        <v>https://www.diodes.com/datasheet/download/DMN3006SCA6.pdf</v>
      </c>
      <c r="C446" t="str">
        <f>Hyperlink("https://www.diodes.com/part/view/DMN3006SCA6","DMN3006SCA6")</f>
        <v>DMN3006SCA6</v>
      </c>
      <c r="D446" t="s">
        <v>26</v>
      </c>
      <c r="E446" t="s">
        <v>30</v>
      </c>
      <c r="F446" t="s">
        <v>28</v>
      </c>
      <c r="G446" t="s">
        <v>40</v>
      </c>
      <c r="H446" t="s">
        <v>27</v>
      </c>
      <c r="I446">
        <v>30</v>
      </c>
      <c r="J446">
        <v>20</v>
      </c>
      <c r="K446">
        <v>13</v>
      </c>
      <c r="M446">
        <v>1.8</v>
      </c>
      <c r="O446">
        <v>5.5</v>
      </c>
      <c r="P446">
        <v>9</v>
      </c>
      <c r="S446">
        <v>1.3</v>
      </c>
      <c r="T446">
        <v>2.2</v>
      </c>
      <c r="U446">
        <v>15</v>
      </c>
      <c r="V446">
        <v>17.7</v>
      </c>
      <c r="W446">
        <v>2235</v>
      </c>
      <c r="X446">
        <v>15</v>
      </c>
      <c r="Y446" t="s">
        <v>1098</v>
      </c>
    </row>
    <row r="447" spans="1:25">
      <c r="A447" t="s">
        <v>1099</v>
      </c>
      <c r="B447" s="2" t="str">
        <f>Hyperlink("https://www.diodes.com/datasheet/download/DMN3007LSS.pdf")</f>
        <v>https://www.diodes.com/datasheet/download/DMN3007LSS.pdf</v>
      </c>
      <c r="C447" t="str">
        <f>Hyperlink("https://www.diodes.com/part/view/DMN3007LSS","DMN3007LSS")</f>
        <v>DMN3007LSS</v>
      </c>
      <c r="D447" t="s">
        <v>26</v>
      </c>
      <c r="E447" t="s">
        <v>27</v>
      </c>
      <c r="F447" t="s">
        <v>28</v>
      </c>
      <c r="G447" t="s">
        <v>29</v>
      </c>
      <c r="H447" t="s">
        <v>30</v>
      </c>
      <c r="I447">
        <v>30</v>
      </c>
      <c r="J447">
        <v>20</v>
      </c>
      <c r="K447">
        <v>16</v>
      </c>
      <c r="M447">
        <v>2.5</v>
      </c>
      <c r="O447">
        <v>7</v>
      </c>
      <c r="P447">
        <v>10</v>
      </c>
      <c r="T447">
        <v>2.1</v>
      </c>
      <c r="U447">
        <v>31.2</v>
      </c>
      <c r="V447">
        <v>64.2</v>
      </c>
      <c r="W447">
        <v>2714</v>
      </c>
      <c r="Y447" t="s">
        <v>213</v>
      </c>
    </row>
    <row r="448" spans="1:25">
      <c r="A448" t="s">
        <v>1100</v>
      </c>
      <c r="B448" s="2" t="str">
        <f>Hyperlink("https://www.diodes.com/datasheet/download/DMN3007LSSQ.pdf")</f>
        <v>https://www.diodes.com/datasheet/download/DMN3007LSSQ.pdf</v>
      </c>
      <c r="C448" t="str">
        <f>Hyperlink("https://www.diodes.com/part/view/DMN3007LSSQ","DMN3007LSSQ")</f>
        <v>DMN3007LSSQ</v>
      </c>
      <c r="D448" t="s">
        <v>1101</v>
      </c>
      <c r="E448" t="s">
        <v>27</v>
      </c>
      <c r="F448" t="s">
        <v>37</v>
      </c>
      <c r="G448" t="s">
        <v>29</v>
      </c>
      <c r="H448" t="s">
        <v>30</v>
      </c>
      <c r="I448">
        <v>30</v>
      </c>
      <c r="J448">
        <v>20</v>
      </c>
      <c r="K448">
        <v>16</v>
      </c>
      <c r="M448">
        <v>2.5</v>
      </c>
      <c r="O448">
        <v>7</v>
      </c>
      <c r="P448">
        <v>10</v>
      </c>
      <c r="S448">
        <v>1.3</v>
      </c>
      <c r="T448">
        <v>2.1</v>
      </c>
      <c r="U448">
        <v>31.2</v>
      </c>
      <c r="W448">
        <v>2714</v>
      </c>
      <c r="X448">
        <v>15</v>
      </c>
      <c r="Y448" t="s">
        <v>213</v>
      </c>
    </row>
    <row r="449" spans="1:25">
      <c r="A449" t="s">
        <v>1102</v>
      </c>
      <c r="B449" s="2" t="str">
        <f>Hyperlink("https://www.diodes.com/datasheet/download/DMN3008SCP10.pdf")</f>
        <v>https://www.diodes.com/datasheet/download/DMN3008SCP10.pdf</v>
      </c>
      <c r="C449" t="str">
        <f>Hyperlink("https://www.diodes.com/part/view/DMN3008SCP10","DMN3008SCP10")</f>
        <v>DMN3008SCP10</v>
      </c>
      <c r="D449" t="s">
        <v>666</v>
      </c>
      <c r="E449" t="s">
        <v>30</v>
      </c>
      <c r="F449" t="s">
        <v>28</v>
      </c>
      <c r="G449" t="s">
        <v>40</v>
      </c>
      <c r="H449" t="s">
        <v>27</v>
      </c>
      <c r="I449">
        <v>30</v>
      </c>
      <c r="J449">
        <v>20</v>
      </c>
      <c r="K449">
        <v>14.6</v>
      </c>
      <c r="M449">
        <v>2.7</v>
      </c>
      <c r="O449">
        <v>7.8</v>
      </c>
      <c r="P449">
        <v>11</v>
      </c>
      <c r="T449">
        <v>2.3</v>
      </c>
      <c r="U449">
        <v>15.8</v>
      </c>
      <c r="V449">
        <v>31.3</v>
      </c>
      <c r="W449">
        <v>1476</v>
      </c>
      <c r="X449">
        <v>15</v>
      </c>
      <c r="Y449" t="s">
        <v>1103</v>
      </c>
    </row>
    <row r="450" spans="1:25">
      <c r="A450" t="s">
        <v>1104</v>
      </c>
      <c r="B450" s="2" t="str">
        <f>Hyperlink("https://www.diodes.com/datasheet/download/DMN3008SFG.pdf")</f>
        <v>https://www.diodes.com/datasheet/download/DMN3008SFG.pdf</v>
      </c>
      <c r="C450" t="str">
        <f>Hyperlink("https://www.diodes.com/part/view/DMN3008SFG","DMN3008SFG")</f>
        <v>DMN3008SFG</v>
      </c>
      <c r="D450" t="s">
        <v>666</v>
      </c>
      <c r="E450" t="s">
        <v>27</v>
      </c>
      <c r="F450" t="s">
        <v>28</v>
      </c>
      <c r="G450" t="s">
        <v>29</v>
      </c>
      <c r="H450" t="s">
        <v>30</v>
      </c>
      <c r="I450">
        <v>30</v>
      </c>
      <c r="J450">
        <v>20</v>
      </c>
      <c r="K450">
        <v>17.6</v>
      </c>
      <c r="M450">
        <v>2.1</v>
      </c>
      <c r="O450">
        <v>4.4</v>
      </c>
      <c r="P450">
        <v>5.5</v>
      </c>
      <c r="T450">
        <v>2.3</v>
      </c>
      <c r="U450">
        <v>41</v>
      </c>
      <c r="V450">
        <v>86</v>
      </c>
      <c r="W450">
        <v>3690</v>
      </c>
      <c r="Y450" t="s">
        <v>718</v>
      </c>
    </row>
    <row r="451" spans="1:25">
      <c r="A451" t="s">
        <v>1105</v>
      </c>
      <c r="B451" s="2" t="str">
        <f>Hyperlink("https://www.diodes.com/datasheet/download/DMN3008SFGQ.pdf")</f>
        <v>https://www.diodes.com/datasheet/download/DMN3008SFGQ.pdf</v>
      </c>
      <c r="C451" t="str">
        <f>Hyperlink("https://www.diodes.com/part/view/DMN3008SFGQ","DMN3008SFGQ")</f>
        <v>DMN3008SFGQ</v>
      </c>
      <c r="D451" t="s">
        <v>666</v>
      </c>
      <c r="E451" t="s">
        <v>27</v>
      </c>
      <c r="F451" t="s">
        <v>37</v>
      </c>
      <c r="G451" t="s">
        <v>29</v>
      </c>
      <c r="H451" t="s">
        <v>30</v>
      </c>
      <c r="I451">
        <v>30</v>
      </c>
      <c r="J451">
        <v>20</v>
      </c>
      <c r="K451">
        <v>17.6</v>
      </c>
      <c r="L451">
        <v>62</v>
      </c>
      <c r="M451">
        <v>2.1</v>
      </c>
      <c r="O451">
        <v>4.4</v>
      </c>
      <c r="P451">
        <v>5.5</v>
      </c>
      <c r="T451">
        <v>2.3</v>
      </c>
      <c r="U451">
        <v>41</v>
      </c>
      <c r="V451">
        <v>86</v>
      </c>
      <c r="W451">
        <v>3690</v>
      </c>
      <c r="X451">
        <v>10</v>
      </c>
      <c r="Y451" t="s">
        <v>718</v>
      </c>
    </row>
    <row r="452" spans="1:25">
      <c r="A452" t="s">
        <v>1106</v>
      </c>
      <c r="B452" s="2" t="str">
        <f>Hyperlink("https://www.diodes.com/datasheet/download/DMN3009LFV.pdf")</f>
        <v>https://www.diodes.com/datasheet/download/DMN3009LFV.pdf</v>
      </c>
      <c r="C452" t="str">
        <f>Hyperlink("https://www.diodes.com/part/view/DMN3009LFV","DMN3009LFV")</f>
        <v>DMN3009LFV</v>
      </c>
      <c r="D452" t="s">
        <v>666</v>
      </c>
      <c r="E452" t="s">
        <v>27</v>
      </c>
      <c r="F452" t="s">
        <v>28</v>
      </c>
      <c r="G452" t="s">
        <v>29</v>
      </c>
      <c r="H452" t="s">
        <v>30</v>
      </c>
      <c r="I452">
        <v>30</v>
      </c>
      <c r="J452">
        <v>20</v>
      </c>
      <c r="L452">
        <v>60</v>
      </c>
      <c r="M452">
        <v>2</v>
      </c>
      <c r="O452">
        <v>5.5</v>
      </c>
      <c r="P452">
        <v>9</v>
      </c>
      <c r="T452">
        <v>3</v>
      </c>
      <c r="U452">
        <v>20</v>
      </c>
      <c r="V452">
        <v>42</v>
      </c>
      <c r="W452">
        <v>2000</v>
      </c>
      <c r="X452">
        <v>15</v>
      </c>
      <c r="Y452" t="s">
        <v>783</v>
      </c>
    </row>
    <row r="453" spans="1:25">
      <c r="A453" t="s">
        <v>1107</v>
      </c>
      <c r="B453" s="2" t="str">
        <f>Hyperlink("https://www.diodes.com/datasheet/download/DMN3009LFVQ.pdf")</f>
        <v>https://www.diodes.com/datasheet/download/DMN3009LFVQ.pdf</v>
      </c>
      <c r="C453" t="str">
        <f>Hyperlink("https://www.diodes.com/part/view/DMN3009LFVQ","DMN3009LFVQ")</f>
        <v>DMN3009LFVQ</v>
      </c>
      <c r="D453" t="s">
        <v>666</v>
      </c>
      <c r="E453" t="s">
        <v>27</v>
      </c>
      <c r="F453" t="s">
        <v>37</v>
      </c>
      <c r="G453" t="s">
        <v>29</v>
      </c>
      <c r="H453" t="s">
        <v>30</v>
      </c>
      <c r="I453">
        <v>30</v>
      </c>
      <c r="J453">
        <v>20</v>
      </c>
      <c r="L453">
        <v>70</v>
      </c>
      <c r="M453">
        <v>2</v>
      </c>
      <c r="O453">
        <v>5.5</v>
      </c>
      <c r="P453">
        <v>9</v>
      </c>
      <c r="T453">
        <v>3</v>
      </c>
      <c r="U453">
        <v>20</v>
      </c>
      <c r="V453">
        <v>42</v>
      </c>
      <c r="W453">
        <v>2000</v>
      </c>
      <c r="X453">
        <v>15</v>
      </c>
      <c r="Y453" t="s">
        <v>783</v>
      </c>
    </row>
    <row r="454" spans="1:25">
      <c r="A454" t="s">
        <v>1108</v>
      </c>
      <c r="B454" s="2" t="str">
        <f>Hyperlink("https://www.diodes.com/datasheet/download/DMN3009LFVW.pdf")</f>
        <v>https://www.diodes.com/datasheet/download/DMN3009LFVW.pdf</v>
      </c>
      <c r="C454" t="str">
        <f>Hyperlink("https://www.diodes.com/part/view/DMN3009LFVW","DMN3009LFVW")</f>
        <v>DMN3009LFVW</v>
      </c>
      <c r="D454" t="s">
        <v>666</v>
      </c>
      <c r="E454" t="s">
        <v>30</v>
      </c>
      <c r="F454" t="s">
        <v>28</v>
      </c>
      <c r="G454" t="s">
        <v>29</v>
      </c>
      <c r="H454" t="s">
        <v>30</v>
      </c>
      <c r="I454">
        <v>30</v>
      </c>
      <c r="J454">
        <v>20</v>
      </c>
      <c r="L454">
        <v>60</v>
      </c>
      <c r="M454">
        <v>2</v>
      </c>
      <c r="O454">
        <v>5</v>
      </c>
      <c r="P454">
        <v>7.4</v>
      </c>
      <c r="T454">
        <v>2.5</v>
      </c>
      <c r="U454">
        <v>20</v>
      </c>
      <c r="V454">
        <v>42</v>
      </c>
      <c r="W454">
        <v>2000</v>
      </c>
      <c r="X454">
        <v>15</v>
      </c>
      <c r="Y454" t="s">
        <v>1109</v>
      </c>
    </row>
    <row r="455" spans="1:25">
      <c r="A455" t="s">
        <v>1110</v>
      </c>
      <c r="B455" s="2" t="str">
        <f>Hyperlink("https://www.diodes.com/datasheet/download/DMN3009LFVWQ.pdf")</f>
        <v>https://www.diodes.com/datasheet/download/DMN3009LFVWQ.pdf</v>
      </c>
      <c r="C455" t="str">
        <f>Hyperlink("https://www.diodes.com/part/view/DMN3009LFVWQ","DMN3009LFVWQ")</f>
        <v>DMN3009LFVWQ</v>
      </c>
      <c r="D455" t="s">
        <v>666</v>
      </c>
      <c r="E455" t="s">
        <v>27</v>
      </c>
      <c r="F455" t="s">
        <v>37</v>
      </c>
      <c r="G455" t="s">
        <v>29</v>
      </c>
      <c r="H455" t="s">
        <v>30</v>
      </c>
      <c r="I455">
        <v>30</v>
      </c>
      <c r="J455">
        <v>20</v>
      </c>
      <c r="L455">
        <v>60</v>
      </c>
      <c r="M455">
        <v>2</v>
      </c>
      <c r="O455">
        <v>5</v>
      </c>
      <c r="P455">
        <v>7.4</v>
      </c>
      <c r="T455">
        <v>2.5</v>
      </c>
      <c r="U455">
        <v>20</v>
      </c>
      <c r="V455">
        <v>42</v>
      </c>
      <c r="Y455" t="s">
        <v>1109</v>
      </c>
    </row>
    <row r="456" spans="1:25">
      <c r="A456" t="s">
        <v>1111</v>
      </c>
      <c r="B456" s="2" t="str">
        <f>Hyperlink("https://www.diodes.com/datasheet/download/DMN3009SFG.pdf")</f>
        <v>https://www.diodes.com/datasheet/download/DMN3009SFG.pdf</v>
      </c>
      <c r="C456" t="str">
        <f>Hyperlink("https://www.diodes.com/part/view/DMN3009SFG","DMN3009SFG")</f>
        <v>DMN3009SFG</v>
      </c>
      <c r="D456" t="s">
        <v>666</v>
      </c>
      <c r="E456" t="s">
        <v>27</v>
      </c>
      <c r="F456" t="s">
        <v>28</v>
      </c>
      <c r="G456" t="s">
        <v>29</v>
      </c>
      <c r="H456" t="s">
        <v>30</v>
      </c>
      <c r="I456">
        <v>30</v>
      </c>
      <c r="J456">
        <v>20</v>
      </c>
      <c r="K456">
        <v>16</v>
      </c>
      <c r="L456">
        <v>45</v>
      </c>
      <c r="M456">
        <v>2.1</v>
      </c>
      <c r="O456">
        <v>5.5</v>
      </c>
      <c r="P456">
        <v>9</v>
      </c>
      <c r="T456">
        <v>2.5</v>
      </c>
      <c r="U456">
        <v>20</v>
      </c>
      <c r="V456">
        <v>42</v>
      </c>
      <c r="W456">
        <v>2000</v>
      </c>
      <c r="X456">
        <v>15</v>
      </c>
      <c r="Y456" t="s">
        <v>718</v>
      </c>
    </row>
    <row r="457" spans="1:25">
      <c r="A457" t="s">
        <v>1112</v>
      </c>
      <c r="B457" s="2" t="str">
        <f>Hyperlink("https://www.diodes.com/datasheet/download/DMN3009SFGQ.pdf")</f>
        <v>https://www.diodes.com/datasheet/download/DMN3009SFGQ.pdf</v>
      </c>
      <c r="C457" t="str">
        <f>Hyperlink("https://www.diodes.com/part/view/DMN3009SFGQ","DMN3009SFGQ")</f>
        <v>DMN3009SFGQ</v>
      </c>
      <c r="D457" t="s">
        <v>666</v>
      </c>
      <c r="E457" t="s">
        <v>27</v>
      </c>
      <c r="F457" t="s">
        <v>37</v>
      </c>
      <c r="G457" t="s">
        <v>29</v>
      </c>
      <c r="H457" t="s">
        <v>30</v>
      </c>
      <c r="I457">
        <v>30</v>
      </c>
      <c r="J457">
        <v>20</v>
      </c>
      <c r="K457">
        <v>16</v>
      </c>
      <c r="L457">
        <v>45</v>
      </c>
      <c r="M457">
        <v>2.1</v>
      </c>
      <c r="O457">
        <v>5.5</v>
      </c>
      <c r="P457">
        <v>9</v>
      </c>
      <c r="T457">
        <v>2.5</v>
      </c>
      <c r="U457">
        <v>20</v>
      </c>
      <c r="V457">
        <v>42</v>
      </c>
      <c r="W457">
        <v>2000</v>
      </c>
      <c r="X457">
        <v>15</v>
      </c>
      <c r="Y457" t="s">
        <v>718</v>
      </c>
    </row>
    <row r="458" spans="1:25">
      <c r="A458" t="s">
        <v>1113</v>
      </c>
      <c r="B458" s="2" t="str">
        <f>Hyperlink("https://www.diodes.com/datasheet/download/DMN3009SK3.pdf")</f>
        <v>https://www.diodes.com/datasheet/download/DMN3009SK3.pdf</v>
      </c>
      <c r="C458" t="str">
        <f>Hyperlink("https://www.diodes.com/part/view/DMN3009SK3","DMN3009SK3")</f>
        <v>DMN3009SK3</v>
      </c>
      <c r="D458" t="s">
        <v>666</v>
      </c>
      <c r="E458" t="s">
        <v>27</v>
      </c>
      <c r="F458" t="s">
        <v>28</v>
      </c>
      <c r="G458" t="s">
        <v>29</v>
      </c>
      <c r="H458" t="s">
        <v>30</v>
      </c>
      <c r="I458">
        <v>30</v>
      </c>
      <c r="J458">
        <v>20</v>
      </c>
      <c r="K458">
        <v>20</v>
      </c>
      <c r="L458">
        <v>80</v>
      </c>
      <c r="M458">
        <v>3.4</v>
      </c>
      <c r="N458">
        <v>44</v>
      </c>
      <c r="O458">
        <v>5.5</v>
      </c>
      <c r="P458">
        <v>9</v>
      </c>
      <c r="T458">
        <v>2.5</v>
      </c>
      <c r="U458">
        <v>20</v>
      </c>
      <c r="V458">
        <v>42</v>
      </c>
      <c r="W458">
        <v>2000</v>
      </c>
      <c r="X458">
        <v>15</v>
      </c>
      <c r="Y458" t="s">
        <v>681</v>
      </c>
    </row>
    <row r="459" spans="1:25">
      <c r="A459" t="s">
        <v>1114</v>
      </c>
      <c r="B459" s="2" t="str">
        <f>Hyperlink("https://www.diodes.com/datasheet/download/DMN3009SSS.pdf")</f>
        <v>https://www.diodes.com/datasheet/download/DMN3009SSS.pdf</v>
      </c>
      <c r="C459" t="str">
        <f>Hyperlink("https://www.diodes.com/part/view/DMN3009SSS","DMN3009SSS")</f>
        <v>DMN3009SSS</v>
      </c>
      <c r="D459" t="s">
        <v>666</v>
      </c>
      <c r="E459" t="s">
        <v>30</v>
      </c>
      <c r="F459" t="s">
        <v>28</v>
      </c>
      <c r="G459" t="s">
        <v>29</v>
      </c>
      <c r="H459" t="s">
        <v>30</v>
      </c>
      <c r="I459">
        <v>30</v>
      </c>
      <c r="J459">
        <v>20</v>
      </c>
      <c r="K459">
        <v>15</v>
      </c>
      <c r="M459">
        <v>1.8</v>
      </c>
      <c r="O459">
        <v>5.5</v>
      </c>
      <c r="P459">
        <v>7.5</v>
      </c>
      <c r="T459">
        <v>2.5</v>
      </c>
      <c r="U459">
        <v>20</v>
      </c>
      <c r="V459">
        <v>42</v>
      </c>
      <c r="W459">
        <v>2000</v>
      </c>
      <c r="X459">
        <v>15</v>
      </c>
      <c r="Y459" t="s">
        <v>213</v>
      </c>
    </row>
    <row r="460" spans="1:25">
      <c r="A460" t="s">
        <v>1115</v>
      </c>
      <c r="B460" s="2" t="str">
        <f>Hyperlink("https://www.diodes.com/datasheet/download/DMN3010LFG.pdf")</f>
        <v>https://www.diodes.com/datasheet/download/DMN3010LFG.pdf</v>
      </c>
      <c r="C460" t="str">
        <f>Hyperlink("https://www.diodes.com/part/view/DMN3010LFG","DMN3010LFG")</f>
        <v>DMN3010LFG</v>
      </c>
      <c r="D460" t="s">
        <v>26</v>
      </c>
      <c r="E460" t="s">
        <v>27</v>
      </c>
      <c r="F460" t="s">
        <v>28</v>
      </c>
      <c r="G460" t="s">
        <v>29</v>
      </c>
      <c r="H460" t="s">
        <v>30</v>
      </c>
      <c r="I460">
        <v>30</v>
      </c>
      <c r="J460">
        <v>20</v>
      </c>
      <c r="K460">
        <v>14</v>
      </c>
      <c r="M460">
        <v>2.4</v>
      </c>
      <c r="O460">
        <v>8.5</v>
      </c>
      <c r="P460">
        <v>10.5</v>
      </c>
      <c r="T460">
        <v>2.5</v>
      </c>
      <c r="U460">
        <v>16.1</v>
      </c>
      <c r="V460">
        <v>37</v>
      </c>
      <c r="W460">
        <v>2075</v>
      </c>
      <c r="Y460" t="s">
        <v>718</v>
      </c>
    </row>
    <row r="461" spans="1:25">
      <c r="A461" t="s">
        <v>1116</v>
      </c>
      <c r="B461" s="2" t="str">
        <f>Hyperlink("https://www.diodes.com/datasheet/download/DMN3010LK3.pdf")</f>
        <v>https://www.diodes.com/datasheet/download/DMN3010LK3.pdf</v>
      </c>
      <c r="C461" t="str">
        <f>Hyperlink("https://www.diodes.com/part/view/DMN3010LK3","DMN3010LK3")</f>
        <v>DMN3010LK3</v>
      </c>
      <c r="D461" t="s">
        <v>26</v>
      </c>
      <c r="E461" t="s">
        <v>27</v>
      </c>
      <c r="F461" t="s">
        <v>28</v>
      </c>
      <c r="G461" t="s">
        <v>29</v>
      </c>
      <c r="H461" t="s">
        <v>30</v>
      </c>
      <c r="I461">
        <v>30</v>
      </c>
      <c r="J461">
        <v>20</v>
      </c>
      <c r="K461">
        <v>13.1</v>
      </c>
      <c r="M461">
        <v>2.4</v>
      </c>
      <c r="O461">
        <v>9.5</v>
      </c>
      <c r="P461">
        <v>11.5</v>
      </c>
      <c r="T461">
        <v>2.5</v>
      </c>
      <c r="U461">
        <v>16.1</v>
      </c>
      <c r="V461">
        <v>37</v>
      </c>
      <c r="W461">
        <v>2075</v>
      </c>
      <c r="Y461" t="s">
        <v>681</v>
      </c>
    </row>
    <row r="462" spans="1:25">
      <c r="A462" t="s">
        <v>1117</v>
      </c>
      <c r="B462" s="2" t="str">
        <f>Hyperlink("https://www.diodes.com/datasheet/download/DMN3010LSS.pdf")</f>
        <v>https://www.diodes.com/datasheet/download/DMN3010LSS.pdf</v>
      </c>
      <c r="C462" t="str">
        <f>Hyperlink("https://www.diodes.com/part/view/DMN3010LSS","DMN3010LSS")</f>
        <v>DMN3010LSS</v>
      </c>
      <c r="D462" t="s">
        <v>26</v>
      </c>
      <c r="E462" t="s">
        <v>27</v>
      </c>
      <c r="F462" t="s">
        <v>28</v>
      </c>
      <c r="G462" t="s">
        <v>29</v>
      </c>
      <c r="H462" t="s">
        <v>30</v>
      </c>
      <c r="I462">
        <v>30</v>
      </c>
      <c r="J462">
        <v>20</v>
      </c>
      <c r="K462">
        <v>16</v>
      </c>
      <c r="M462">
        <v>2.5</v>
      </c>
      <c r="O462">
        <v>9</v>
      </c>
      <c r="P462">
        <v>13</v>
      </c>
      <c r="T462">
        <v>2</v>
      </c>
      <c r="U462">
        <v>22.4</v>
      </c>
      <c r="V462">
        <v>43.7</v>
      </c>
      <c r="W462">
        <v>2096</v>
      </c>
      <c r="Y462" t="s">
        <v>213</v>
      </c>
    </row>
    <row r="463" spans="1:25">
      <c r="A463" t="s">
        <v>1118</v>
      </c>
      <c r="B463" s="2" t="str">
        <f>Hyperlink("https://www.diodes.com/datasheet/download/DMN3011LFVW.pdf")</f>
        <v>https://www.diodes.com/datasheet/download/DMN3011LFVW.pdf</v>
      </c>
      <c r="C463" t="str">
        <f>Hyperlink("https://www.diodes.com/part/view/DMN3011LFVW","DMN3011LFVW")</f>
        <v>DMN3011LFVW</v>
      </c>
      <c r="D463" t="s">
        <v>1101</v>
      </c>
      <c r="E463" t="s">
        <v>30</v>
      </c>
      <c r="F463" t="s">
        <v>28</v>
      </c>
      <c r="G463" t="s">
        <v>29</v>
      </c>
      <c r="H463" t="s">
        <v>30</v>
      </c>
      <c r="I463">
        <v>30</v>
      </c>
      <c r="J463">
        <v>20</v>
      </c>
      <c r="K463" t="s">
        <v>1119</v>
      </c>
      <c r="L463">
        <v>58</v>
      </c>
      <c r="M463">
        <v>2.6</v>
      </c>
      <c r="N463">
        <v>2.2</v>
      </c>
      <c r="O463">
        <v>11</v>
      </c>
      <c r="P463">
        <v>15.2</v>
      </c>
      <c r="S463">
        <v>1.4</v>
      </c>
      <c r="T463">
        <v>2.25</v>
      </c>
      <c r="U463">
        <v>10</v>
      </c>
      <c r="V463">
        <v>19.7</v>
      </c>
      <c r="W463">
        <v>1130</v>
      </c>
      <c r="X463">
        <v>15</v>
      </c>
      <c r="Y463" t="s">
        <v>1109</v>
      </c>
    </row>
    <row r="464" spans="1:25">
      <c r="A464" t="s">
        <v>1120</v>
      </c>
      <c r="B464" s="2" t="str">
        <f>Hyperlink("https://www.diodes.com/datasheet/download/DMN3011LFVWQ.pdf")</f>
        <v>https://www.diodes.com/datasheet/download/DMN3011LFVWQ.pdf</v>
      </c>
      <c r="C464" t="str">
        <f>Hyperlink("https://www.diodes.com/part/view/DMN3011LFVWQ","DMN3011LFVWQ")</f>
        <v>DMN3011LFVWQ</v>
      </c>
      <c r="D464" t="s">
        <v>1101</v>
      </c>
      <c r="E464" t="s">
        <v>27</v>
      </c>
      <c r="F464" t="s">
        <v>37</v>
      </c>
      <c r="G464" t="s">
        <v>29</v>
      </c>
      <c r="H464" t="s">
        <v>30</v>
      </c>
      <c r="I464">
        <v>30</v>
      </c>
      <c r="J464">
        <v>20</v>
      </c>
      <c r="K464" t="s">
        <v>1119</v>
      </c>
      <c r="L464">
        <v>58</v>
      </c>
      <c r="M464">
        <v>2.6</v>
      </c>
      <c r="N464">
        <v>2.2</v>
      </c>
      <c r="O464">
        <v>11</v>
      </c>
      <c r="P464">
        <v>15.2</v>
      </c>
      <c r="S464">
        <v>1.4</v>
      </c>
      <c r="T464">
        <v>2.25</v>
      </c>
      <c r="U464">
        <v>10</v>
      </c>
      <c r="V464">
        <v>19.7</v>
      </c>
      <c r="W464">
        <v>1130</v>
      </c>
      <c r="X464">
        <v>15</v>
      </c>
      <c r="Y464" t="s">
        <v>1109</v>
      </c>
    </row>
    <row r="465" spans="1:25">
      <c r="A465" t="s">
        <v>1121</v>
      </c>
      <c r="B465" s="2" t="str">
        <f>Hyperlink("https://www.diodes.com/datasheet/download/DMN3011LSS.pdf")</f>
        <v>https://www.diodes.com/datasheet/download/DMN3011LSS.pdf</v>
      </c>
      <c r="C465" t="str">
        <f>Hyperlink("https://www.diodes.com/part/view/DMN3011LSS","DMN3011LSS")</f>
        <v>DMN3011LSS</v>
      </c>
      <c r="D465" t="s">
        <v>1101</v>
      </c>
      <c r="E465" t="s">
        <v>30</v>
      </c>
      <c r="F465" t="s">
        <v>28</v>
      </c>
      <c r="G465" t="s">
        <v>29</v>
      </c>
      <c r="H465" t="s">
        <v>30</v>
      </c>
      <c r="I465">
        <v>30</v>
      </c>
      <c r="J465">
        <v>20</v>
      </c>
      <c r="K465">
        <v>11</v>
      </c>
      <c r="M465">
        <v>1.7</v>
      </c>
      <c r="O465">
        <v>10</v>
      </c>
      <c r="P465">
        <v>16</v>
      </c>
      <c r="S465">
        <v>1.4</v>
      </c>
      <c r="T465">
        <v>2.25</v>
      </c>
      <c r="U465">
        <v>10</v>
      </c>
      <c r="V465">
        <v>19.7</v>
      </c>
      <c r="W465">
        <v>1130</v>
      </c>
      <c r="X465">
        <v>15</v>
      </c>
      <c r="Y465" t="s">
        <v>213</v>
      </c>
    </row>
    <row r="466" spans="1:25">
      <c r="A466" t="s">
        <v>1122</v>
      </c>
      <c r="B466" s="2" t="str">
        <f>Hyperlink("https://www.diodes.com/datasheet/download/DMN3011LSSQ.pdf")</f>
        <v>https://www.diodes.com/datasheet/download/DMN3011LSSQ.pdf</v>
      </c>
      <c r="C466" t="str">
        <f>Hyperlink("https://www.diodes.com/part/view/DMN3011LSSQ","DMN3011LSSQ")</f>
        <v>DMN3011LSSQ</v>
      </c>
      <c r="D466" t="s">
        <v>1101</v>
      </c>
      <c r="E466" t="s">
        <v>27</v>
      </c>
      <c r="F466" t="s">
        <v>37</v>
      </c>
      <c r="G466" t="s">
        <v>29</v>
      </c>
      <c r="H466" t="s">
        <v>30</v>
      </c>
      <c r="I466">
        <v>30</v>
      </c>
      <c r="J466">
        <v>20</v>
      </c>
      <c r="K466">
        <v>11</v>
      </c>
      <c r="M466">
        <v>1.7</v>
      </c>
      <c r="O466">
        <v>10</v>
      </c>
      <c r="P466">
        <v>16</v>
      </c>
      <c r="S466">
        <v>1.4</v>
      </c>
      <c r="T466">
        <v>2.25</v>
      </c>
      <c r="U466">
        <v>10</v>
      </c>
      <c r="V466">
        <v>19.7</v>
      </c>
      <c r="W466">
        <v>1130</v>
      </c>
      <c r="X466">
        <v>15</v>
      </c>
      <c r="Y466" t="s">
        <v>213</v>
      </c>
    </row>
    <row r="467" spans="1:25">
      <c r="A467" t="s">
        <v>1123</v>
      </c>
      <c r="B467" s="2" t="str">
        <f>Hyperlink("https://www.diodes.com/datasheet/download/DMN3012LEG.pdf")</f>
        <v>https://www.diodes.com/datasheet/download/DMN3012LEG.pdf</v>
      </c>
      <c r="C467" t="str">
        <f>Hyperlink("https://www.diodes.com/part/view/DMN3012LEG","DMN3012LEG")</f>
        <v>DMN3012LEG</v>
      </c>
      <c r="D467" t="s">
        <v>1124</v>
      </c>
      <c r="E467" t="s">
        <v>30</v>
      </c>
      <c r="F467" t="s">
        <v>28</v>
      </c>
      <c r="G467" t="s">
        <v>40</v>
      </c>
      <c r="H467" t="s">
        <v>30</v>
      </c>
      <c r="I467">
        <v>30</v>
      </c>
      <c r="J467" t="s">
        <v>238</v>
      </c>
      <c r="K467" t="s">
        <v>238</v>
      </c>
      <c r="L467">
        <v>20</v>
      </c>
      <c r="M467">
        <v>2.16</v>
      </c>
      <c r="N467">
        <v>2.2</v>
      </c>
      <c r="P467" t="s">
        <v>1125</v>
      </c>
      <c r="T467" t="s">
        <v>1126</v>
      </c>
      <c r="U467" t="s">
        <v>1127</v>
      </c>
      <c r="W467" t="s">
        <v>1128</v>
      </c>
      <c r="Y467" t="s">
        <v>1129</v>
      </c>
    </row>
    <row r="468" spans="1:25">
      <c r="A468" t="s">
        <v>1130</v>
      </c>
      <c r="B468" s="2" t="str">
        <f>Hyperlink("https://www.diodes.com/datasheet/download/DMN3012LFG.pdf")</f>
        <v>https://www.diodes.com/datasheet/download/DMN3012LFG.pdf</v>
      </c>
      <c r="C468" t="str">
        <f>Hyperlink("https://www.diodes.com/part/view/DMN3012LFG","DMN3012LFG")</f>
        <v>DMN3012LFG</v>
      </c>
      <c r="D468" t="s">
        <v>1131</v>
      </c>
      <c r="E468" t="s">
        <v>30</v>
      </c>
      <c r="F468" t="s">
        <v>28</v>
      </c>
      <c r="G468" t="s">
        <v>40</v>
      </c>
      <c r="H468" t="s">
        <v>30</v>
      </c>
      <c r="I468">
        <v>30</v>
      </c>
      <c r="J468" t="s">
        <v>238</v>
      </c>
      <c r="K468" t="s">
        <v>238</v>
      </c>
      <c r="L468" t="s">
        <v>116</v>
      </c>
      <c r="M468">
        <v>2.16</v>
      </c>
      <c r="N468">
        <v>2.2</v>
      </c>
      <c r="P468" t="s">
        <v>1125</v>
      </c>
      <c r="T468" t="s">
        <v>1126</v>
      </c>
      <c r="U468" t="s">
        <v>1127</v>
      </c>
      <c r="W468" t="s">
        <v>1132</v>
      </c>
      <c r="X468">
        <v>15</v>
      </c>
      <c r="Y468" t="s">
        <v>1129</v>
      </c>
    </row>
    <row r="469" spans="1:25">
      <c r="A469" t="s">
        <v>1133</v>
      </c>
      <c r="B469" s="2" t="str">
        <f>Hyperlink("https://www.diodes.com/datasheet/download/DMN3013LDG.pdf")</f>
        <v>https://www.diodes.com/datasheet/download/DMN3013LDG.pdf</v>
      </c>
      <c r="C469" t="str">
        <f>Hyperlink("https://www.diodes.com/part/view/DMN3013LDG","DMN3013LDG")</f>
        <v>DMN3013LDG</v>
      </c>
      <c r="D469" t="s">
        <v>1124</v>
      </c>
      <c r="E469" t="s">
        <v>30</v>
      </c>
      <c r="F469" t="s">
        <v>28</v>
      </c>
      <c r="G469" t="s">
        <v>40</v>
      </c>
      <c r="H469" t="s">
        <v>27</v>
      </c>
      <c r="I469">
        <v>30</v>
      </c>
      <c r="J469" t="s">
        <v>238</v>
      </c>
      <c r="K469" t="s">
        <v>378</v>
      </c>
      <c r="L469">
        <v>15</v>
      </c>
      <c r="M469">
        <v>2.16</v>
      </c>
      <c r="O469" t="s">
        <v>1134</v>
      </c>
      <c r="P469" t="s">
        <v>1135</v>
      </c>
      <c r="T469" t="s">
        <v>1136</v>
      </c>
      <c r="U469" t="s">
        <v>1137</v>
      </c>
      <c r="W469">
        <v>387</v>
      </c>
      <c r="Y469" t="s">
        <v>1129</v>
      </c>
    </row>
    <row r="470" spans="1:25">
      <c r="A470" t="s">
        <v>1138</v>
      </c>
      <c r="B470" s="2" t="str">
        <f>Hyperlink("https://www.diodes.com/datasheet/download/DMN3013LFG.pdf")</f>
        <v>https://www.diodes.com/datasheet/download/DMN3013LFG.pdf</v>
      </c>
      <c r="C470" t="str">
        <f>Hyperlink("https://www.diodes.com/part/view/DMN3013LFG","DMN3013LFG")</f>
        <v>DMN3013LFG</v>
      </c>
      <c r="D470" t="s">
        <v>1124</v>
      </c>
      <c r="E470" t="s">
        <v>30</v>
      </c>
      <c r="F470" t="s">
        <v>28</v>
      </c>
      <c r="G470" t="s">
        <v>40</v>
      </c>
      <c r="H470" t="s">
        <v>27</v>
      </c>
      <c r="I470">
        <v>30</v>
      </c>
      <c r="J470" t="s">
        <v>238</v>
      </c>
      <c r="K470" t="s">
        <v>378</v>
      </c>
      <c r="L470" t="s">
        <v>357</v>
      </c>
      <c r="M470">
        <v>2.16</v>
      </c>
      <c r="O470" t="s">
        <v>1134</v>
      </c>
      <c r="P470" t="s">
        <v>1135</v>
      </c>
      <c r="T470" t="s">
        <v>1136</v>
      </c>
      <c r="U470" t="s">
        <v>1137</v>
      </c>
      <c r="W470">
        <v>387</v>
      </c>
      <c r="Y470" t="s">
        <v>1129</v>
      </c>
    </row>
    <row r="471" spans="1:25">
      <c r="A471" t="s">
        <v>1139</v>
      </c>
      <c r="B471" s="2" t="str">
        <f>Hyperlink("https://www.diodes.com/datasheet/download/DMN3015LSD.pdf")</f>
        <v>https://www.diodes.com/datasheet/download/DMN3015LSD.pdf</v>
      </c>
      <c r="C471" t="str">
        <f>Hyperlink("https://www.diodes.com/part/view/DMN3015LSD","DMN3015LSD")</f>
        <v>DMN3015LSD</v>
      </c>
      <c r="D471" t="s">
        <v>39</v>
      </c>
      <c r="E471" t="s">
        <v>27</v>
      </c>
      <c r="F471" t="s">
        <v>28</v>
      </c>
      <c r="G471" t="s">
        <v>40</v>
      </c>
      <c r="H471" t="s">
        <v>30</v>
      </c>
      <c r="I471">
        <v>30</v>
      </c>
      <c r="J471">
        <v>20</v>
      </c>
      <c r="K471">
        <v>8.4</v>
      </c>
      <c r="M471">
        <v>1.6</v>
      </c>
      <c r="O471">
        <v>15</v>
      </c>
      <c r="P471">
        <v>18</v>
      </c>
      <c r="T471">
        <v>2.5</v>
      </c>
      <c r="U471">
        <v>11.3</v>
      </c>
      <c r="V471">
        <v>25.1</v>
      </c>
      <c r="W471">
        <v>1415</v>
      </c>
      <c r="Y471" t="s">
        <v>213</v>
      </c>
    </row>
    <row r="472" spans="1:25">
      <c r="A472" t="s">
        <v>1140</v>
      </c>
      <c r="B472" s="2" t="str">
        <f>Hyperlink("https://www.diodes.com/datasheet/download/DMN3016LDN.pdf")</f>
        <v>https://www.diodes.com/datasheet/download/DMN3016LDN.pdf</v>
      </c>
      <c r="C472" t="str">
        <f>Hyperlink("https://www.diodes.com/part/view/DMN3016LDN","DMN3016LDN")</f>
        <v>DMN3016LDN</v>
      </c>
      <c r="D472" t="s">
        <v>1141</v>
      </c>
      <c r="E472" t="s">
        <v>30</v>
      </c>
      <c r="F472" t="s">
        <v>28</v>
      </c>
      <c r="G472" t="s">
        <v>40</v>
      </c>
      <c r="H472" t="s">
        <v>30</v>
      </c>
      <c r="I472">
        <v>30</v>
      </c>
      <c r="J472">
        <v>20</v>
      </c>
      <c r="K472">
        <v>7.3</v>
      </c>
      <c r="M472">
        <v>1.6</v>
      </c>
      <c r="O472">
        <v>20</v>
      </c>
      <c r="P472">
        <v>24</v>
      </c>
      <c r="T472">
        <v>2</v>
      </c>
      <c r="U472">
        <v>11.3</v>
      </c>
      <c r="V472">
        <v>25.1</v>
      </c>
      <c r="W472">
        <v>1415</v>
      </c>
      <c r="X472">
        <v>15</v>
      </c>
      <c r="Y472" t="s">
        <v>1142</v>
      </c>
    </row>
    <row r="473" spans="1:25">
      <c r="A473" t="s">
        <v>1143</v>
      </c>
      <c r="B473" s="2" t="str">
        <f>Hyperlink("https://www.diodes.com/datasheet/download/DMN3016LDV.pdf")</f>
        <v>https://www.diodes.com/datasheet/download/DMN3016LDV.pdf</v>
      </c>
      <c r="C473" t="str">
        <f>Hyperlink("https://www.diodes.com/part/view/DMN3016LDV","DMN3016LDV")</f>
        <v>DMN3016LDV</v>
      </c>
      <c r="D473" t="s">
        <v>26</v>
      </c>
      <c r="E473" t="s">
        <v>30</v>
      </c>
      <c r="F473" t="s">
        <v>28</v>
      </c>
      <c r="G473" t="s">
        <v>40</v>
      </c>
      <c r="H473" t="s">
        <v>30</v>
      </c>
      <c r="I473">
        <v>30</v>
      </c>
      <c r="J473">
        <v>20</v>
      </c>
      <c r="L473">
        <v>21</v>
      </c>
      <c r="M473">
        <v>1.8</v>
      </c>
      <c r="O473">
        <v>12</v>
      </c>
      <c r="P473">
        <v>17</v>
      </c>
      <c r="T473">
        <v>2</v>
      </c>
      <c r="U473">
        <v>9.5</v>
      </c>
      <c r="V473">
        <v>21</v>
      </c>
      <c r="W473">
        <v>1184</v>
      </c>
      <c r="X473">
        <v>15</v>
      </c>
      <c r="Y473" t="s">
        <v>381</v>
      </c>
    </row>
    <row r="474" spans="1:25">
      <c r="A474" t="s">
        <v>1144</v>
      </c>
      <c r="B474" s="2" t="str">
        <f>Hyperlink("https://www.diodes.com/datasheet/download/DMN3016LFDE.pdf")</f>
        <v>https://www.diodes.com/datasheet/download/DMN3016LFDE.pdf</v>
      </c>
      <c r="C474" t="str">
        <f>Hyperlink("https://www.diodes.com/part/view/DMN3016LFDE","DMN3016LFDE")</f>
        <v>DMN3016LFDE</v>
      </c>
      <c r="D474" t="s">
        <v>26</v>
      </c>
      <c r="E474" t="s">
        <v>27</v>
      </c>
      <c r="F474" t="s">
        <v>28</v>
      </c>
      <c r="G474" t="s">
        <v>29</v>
      </c>
      <c r="H474" t="s">
        <v>30</v>
      </c>
      <c r="I474">
        <v>30</v>
      </c>
      <c r="J474">
        <v>20</v>
      </c>
      <c r="K474">
        <v>10</v>
      </c>
      <c r="M474">
        <v>2.02</v>
      </c>
      <c r="O474">
        <v>12</v>
      </c>
      <c r="P474">
        <v>16</v>
      </c>
      <c r="T474">
        <v>2</v>
      </c>
      <c r="U474">
        <v>11.3</v>
      </c>
      <c r="V474">
        <v>25.1</v>
      </c>
      <c r="W474">
        <v>1415</v>
      </c>
      <c r="Y474" t="s">
        <v>778</v>
      </c>
    </row>
    <row r="475" spans="1:25">
      <c r="A475" t="s">
        <v>1145</v>
      </c>
      <c r="B475" s="2" t="str">
        <f>Hyperlink("https://www.diodes.com/datasheet/download/DMN3016LFDF.pdf")</f>
        <v>https://www.diodes.com/datasheet/download/DMN3016LFDF.pdf</v>
      </c>
      <c r="C475" t="str">
        <f>Hyperlink("https://www.diodes.com/part/view/DMN3016LFDF","DMN3016LFDF")</f>
        <v>DMN3016LFDF</v>
      </c>
      <c r="D475" t="s">
        <v>26</v>
      </c>
      <c r="E475" t="s">
        <v>27</v>
      </c>
      <c r="F475" t="s">
        <v>28</v>
      </c>
      <c r="G475" t="s">
        <v>29</v>
      </c>
      <c r="H475" t="s">
        <v>30</v>
      </c>
      <c r="I475">
        <v>30</v>
      </c>
      <c r="J475">
        <v>20</v>
      </c>
      <c r="K475">
        <v>10</v>
      </c>
      <c r="M475">
        <v>2.02</v>
      </c>
      <c r="O475">
        <v>12</v>
      </c>
      <c r="P475">
        <v>16</v>
      </c>
      <c r="T475">
        <v>2</v>
      </c>
      <c r="U475">
        <v>11.3</v>
      </c>
      <c r="V475">
        <v>25.1</v>
      </c>
      <c r="W475">
        <v>1415</v>
      </c>
      <c r="X475">
        <v>15</v>
      </c>
      <c r="Y475" t="s">
        <v>780</v>
      </c>
    </row>
    <row r="476" spans="1:25">
      <c r="A476" t="s">
        <v>1146</v>
      </c>
      <c r="B476" s="2" t="str">
        <f>Hyperlink("https://www.diodes.com/datasheet/download/DMN3016LFDFQ.pdf")</f>
        <v>https://www.diodes.com/datasheet/download/DMN3016LFDFQ.pdf</v>
      </c>
      <c r="C476" t="str">
        <f>Hyperlink("https://www.diodes.com/part/view/DMN3016LFDFQ","DMN3016LFDFQ")</f>
        <v>DMN3016LFDFQ</v>
      </c>
      <c r="D476" t="s">
        <v>1147</v>
      </c>
      <c r="E476" t="s">
        <v>27</v>
      </c>
      <c r="F476" t="s">
        <v>37</v>
      </c>
      <c r="G476" t="s">
        <v>29</v>
      </c>
      <c r="H476" t="s">
        <v>30</v>
      </c>
      <c r="I476">
        <v>30</v>
      </c>
      <c r="J476">
        <v>20</v>
      </c>
      <c r="K476">
        <v>10</v>
      </c>
      <c r="M476">
        <v>2.02</v>
      </c>
      <c r="O476">
        <v>12</v>
      </c>
      <c r="P476">
        <v>16</v>
      </c>
      <c r="T476">
        <v>2</v>
      </c>
      <c r="U476">
        <v>11.3</v>
      </c>
      <c r="V476">
        <v>25.1</v>
      </c>
      <c r="Y476" t="s">
        <v>780</v>
      </c>
    </row>
    <row r="477" spans="1:25">
      <c r="A477" t="s">
        <v>1148</v>
      </c>
      <c r="B477" s="2" t="str">
        <f>Hyperlink("https://www.diodes.com/datasheet/download/DMN3016LK3.pdf")</f>
        <v>https://www.diodes.com/datasheet/download/DMN3016LK3.pdf</v>
      </c>
      <c r="C477" t="str">
        <f>Hyperlink("https://www.diodes.com/part/view/DMN3016LK3","DMN3016LK3")</f>
        <v>DMN3016LK3</v>
      </c>
      <c r="D477" t="s">
        <v>26</v>
      </c>
      <c r="E477" t="s">
        <v>27</v>
      </c>
      <c r="F477" t="s">
        <v>28</v>
      </c>
      <c r="G477" t="s">
        <v>29</v>
      </c>
      <c r="H477" t="s">
        <v>30</v>
      </c>
      <c r="I477">
        <v>30</v>
      </c>
      <c r="J477">
        <v>20</v>
      </c>
      <c r="K477">
        <v>12.4</v>
      </c>
      <c r="M477">
        <v>2.8</v>
      </c>
      <c r="O477">
        <v>12</v>
      </c>
      <c r="P477">
        <v>16</v>
      </c>
      <c r="T477">
        <v>2.3</v>
      </c>
      <c r="U477">
        <v>11.3</v>
      </c>
      <c r="V477">
        <v>25.1</v>
      </c>
      <c r="W477">
        <v>1415</v>
      </c>
      <c r="Y477" t="s">
        <v>681</v>
      </c>
    </row>
    <row r="478" spans="1:25">
      <c r="A478" t="s">
        <v>1149</v>
      </c>
      <c r="B478" s="2" t="str">
        <f>Hyperlink("https://www.diodes.com/datasheet/download/DMN3016LPS.pdf")</f>
        <v>https://www.diodes.com/datasheet/download/DMN3016LPS.pdf</v>
      </c>
      <c r="C478" t="str">
        <f>Hyperlink("https://www.diodes.com/part/view/DMN3016LPS","DMN3016LPS")</f>
        <v>DMN3016LPS</v>
      </c>
      <c r="D478" t="s">
        <v>666</v>
      </c>
      <c r="E478" t="s">
        <v>27</v>
      </c>
      <c r="F478" t="s">
        <v>28</v>
      </c>
      <c r="G478" t="s">
        <v>29</v>
      </c>
      <c r="H478" t="s">
        <v>30</v>
      </c>
      <c r="I478">
        <v>30</v>
      </c>
      <c r="J478">
        <v>20</v>
      </c>
      <c r="K478">
        <v>10.8</v>
      </c>
      <c r="M478">
        <v>2.75</v>
      </c>
      <c r="O478">
        <v>12</v>
      </c>
      <c r="P478">
        <v>16</v>
      </c>
      <c r="T478">
        <v>2</v>
      </c>
      <c r="U478">
        <v>11.3</v>
      </c>
      <c r="V478">
        <v>25.1</v>
      </c>
      <c r="W478">
        <v>1415</v>
      </c>
      <c r="X478">
        <v>15</v>
      </c>
      <c r="Y478" t="s">
        <v>907</v>
      </c>
    </row>
    <row r="479" spans="1:25">
      <c r="A479" t="s">
        <v>1150</v>
      </c>
      <c r="B479" s="2" t="str">
        <f>Hyperlink("https://www.diodes.com/datasheet/download/DMN3016LSS.pdf")</f>
        <v>https://www.diodes.com/datasheet/download/DMN3016LSS.pdf</v>
      </c>
      <c r="C479" t="str">
        <f>Hyperlink("https://www.diodes.com/part/view/DMN3016LSS","DMN3016LSS")</f>
        <v>DMN3016LSS</v>
      </c>
      <c r="D479" t="s">
        <v>26</v>
      </c>
      <c r="E479" t="s">
        <v>27</v>
      </c>
      <c r="F479" t="s">
        <v>28</v>
      </c>
      <c r="G479" t="s">
        <v>29</v>
      </c>
      <c r="H479" t="s">
        <v>30</v>
      </c>
      <c r="I479">
        <v>30</v>
      </c>
      <c r="J479">
        <v>20</v>
      </c>
      <c r="K479">
        <v>10.3</v>
      </c>
      <c r="M479">
        <v>2</v>
      </c>
      <c r="O479">
        <v>12</v>
      </c>
      <c r="P479">
        <v>16</v>
      </c>
      <c r="T479">
        <v>2.5</v>
      </c>
      <c r="U479">
        <v>11.3</v>
      </c>
      <c r="V479">
        <v>25.1</v>
      </c>
      <c r="W479">
        <v>1415</v>
      </c>
      <c r="Y479" t="s">
        <v>213</v>
      </c>
    </row>
    <row r="480" spans="1:25">
      <c r="A480" t="s">
        <v>1151</v>
      </c>
      <c r="B480" s="2" t="str">
        <f>Hyperlink("https://www.diodes.com/datasheet/download/DMN3018SFG.pdf")</f>
        <v>https://www.diodes.com/datasheet/download/DMN3018SFG.pdf</v>
      </c>
      <c r="C480" t="str">
        <f>Hyperlink("https://www.diodes.com/part/view/DMN3018SFG","DMN3018SFG")</f>
        <v>DMN3018SFG</v>
      </c>
      <c r="D480" t="s">
        <v>666</v>
      </c>
      <c r="E480" t="s">
        <v>27</v>
      </c>
      <c r="F480" t="s">
        <v>28</v>
      </c>
      <c r="G480" t="s">
        <v>29</v>
      </c>
      <c r="H480" t="s">
        <v>27</v>
      </c>
      <c r="I480">
        <v>30</v>
      </c>
      <c r="J480">
        <v>25</v>
      </c>
      <c r="K480">
        <v>8.5</v>
      </c>
      <c r="M480">
        <v>2.2</v>
      </c>
      <c r="O480">
        <v>21</v>
      </c>
      <c r="P480">
        <v>35</v>
      </c>
      <c r="T480">
        <v>2.1</v>
      </c>
      <c r="U480">
        <v>6</v>
      </c>
      <c r="V480">
        <v>13.2</v>
      </c>
      <c r="W480">
        <v>697</v>
      </c>
      <c r="Y480" t="s">
        <v>718</v>
      </c>
    </row>
    <row r="481" spans="1:25">
      <c r="A481" t="s">
        <v>1152</v>
      </c>
      <c r="B481" s="2" t="str">
        <f>Hyperlink("https://www.diodes.com/datasheet/download/DMN3018SSD.pdf")</f>
        <v>https://www.diodes.com/datasheet/download/DMN3018SSD.pdf</v>
      </c>
      <c r="C481" t="str">
        <f>Hyperlink("https://www.diodes.com/part/view/DMN3018SSD","DMN3018SSD")</f>
        <v>DMN3018SSD</v>
      </c>
      <c r="D481" t="s">
        <v>39</v>
      </c>
      <c r="E481" t="s">
        <v>27</v>
      </c>
      <c r="F481" t="s">
        <v>28</v>
      </c>
      <c r="G481" t="s">
        <v>40</v>
      </c>
      <c r="H481" t="s">
        <v>27</v>
      </c>
      <c r="I481">
        <v>30</v>
      </c>
      <c r="J481">
        <v>20</v>
      </c>
      <c r="K481">
        <v>6.7</v>
      </c>
      <c r="M481">
        <v>1.5</v>
      </c>
      <c r="O481">
        <v>22</v>
      </c>
      <c r="P481">
        <v>30</v>
      </c>
      <c r="T481">
        <v>2.1</v>
      </c>
      <c r="U481">
        <v>6</v>
      </c>
      <c r="V481">
        <v>13.2</v>
      </c>
      <c r="W481">
        <v>697</v>
      </c>
      <c r="Y481" t="s">
        <v>213</v>
      </c>
    </row>
    <row r="482" spans="1:25">
      <c r="A482" t="s">
        <v>1153</v>
      </c>
      <c r="B482" s="2" t="str">
        <f>Hyperlink("https://www.diodes.com/datasheet/download/DMN3018SSS.pdf")</f>
        <v>https://www.diodes.com/datasheet/download/DMN3018SSS.pdf</v>
      </c>
      <c r="C482" t="str">
        <f>Hyperlink("https://www.diodes.com/part/view/DMN3018SSS","DMN3018SSS")</f>
        <v>DMN3018SSS</v>
      </c>
      <c r="D482" t="s">
        <v>26</v>
      </c>
      <c r="E482" t="s">
        <v>27</v>
      </c>
      <c r="F482" t="s">
        <v>28</v>
      </c>
      <c r="G482" t="s">
        <v>29</v>
      </c>
      <c r="H482" t="s">
        <v>27</v>
      </c>
      <c r="I482">
        <v>30</v>
      </c>
      <c r="J482">
        <v>25</v>
      </c>
      <c r="K482">
        <v>7.3</v>
      </c>
      <c r="M482">
        <v>1.7</v>
      </c>
      <c r="O482">
        <v>21</v>
      </c>
      <c r="P482">
        <v>35</v>
      </c>
      <c r="T482">
        <v>2.1</v>
      </c>
      <c r="U482">
        <v>6</v>
      </c>
      <c r="V482">
        <v>13.2</v>
      </c>
      <c r="W482">
        <v>697</v>
      </c>
      <c r="Y482" t="s">
        <v>213</v>
      </c>
    </row>
    <row r="483" spans="1:25">
      <c r="A483" t="s">
        <v>1154</v>
      </c>
      <c r="B483" s="2" t="str">
        <f>Hyperlink("https://www.diodes.com/datasheet/download/DMN3020UFDF.pdf")</f>
        <v>https://www.diodes.com/datasheet/download/DMN3020UFDF.pdf</v>
      </c>
      <c r="C483" t="str">
        <f>Hyperlink("https://www.diodes.com/part/view/DMN3020UFDF","DMN3020UFDF")</f>
        <v>DMN3020UFDF</v>
      </c>
      <c r="D483" t="s">
        <v>666</v>
      </c>
      <c r="E483" t="s">
        <v>27</v>
      </c>
      <c r="F483" t="s">
        <v>28</v>
      </c>
      <c r="G483" t="s">
        <v>29</v>
      </c>
      <c r="H483" t="s">
        <v>27</v>
      </c>
      <c r="I483">
        <v>30</v>
      </c>
      <c r="J483">
        <v>12</v>
      </c>
      <c r="K483">
        <v>10.4</v>
      </c>
      <c r="L483">
        <v>15</v>
      </c>
      <c r="M483">
        <v>2.03</v>
      </c>
      <c r="P483">
        <v>19</v>
      </c>
      <c r="Q483">
        <v>25</v>
      </c>
      <c r="R483">
        <v>40</v>
      </c>
      <c r="T483">
        <v>1</v>
      </c>
      <c r="U483">
        <v>15</v>
      </c>
      <c r="V483" t="s">
        <v>1155</v>
      </c>
      <c r="W483">
        <v>1304</v>
      </c>
      <c r="X483">
        <v>15</v>
      </c>
      <c r="Y483" t="s">
        <v>780</v>
      </c>
    </row>
    <row r="484" spans="1:25">
      <c r="A484" t="s">
        <v>1156</v>
      </c>
      <c r="B484" s="2" t="str">
        <f>Hyperlink("https://www.diodes.com/datasheet/download/DMN3020UFDFQ.pdf")</f>
        <v>https://www.diodes.com/datasheet/download/DMN3020UFDFQ.pdf</v>
      </c>
      <c r="C484" t="str">
        <f>Hyperlink("https://www.diodes.com/part/view/DMN3020UFDFQ","DMN3020UFDFQ")</f>
        <v>DMN3020UFDFQ</v>
      </c>
      <c r="D484" t="s">
        <v>666</v>
      </c>
      <c r="E484" t="s">
        <v>27</v>
      </c>
      <c r="F484" t="s">
        <v>37</v>
      </c>
      <c r="G484" t="s">
        <v>29</v>
      </c>
      <c r="H484" t="s">
        <v>27</v>
      </c>
      <c r="I484">
        <v>30</v>
      </c>
      <c r="J484">
        <v>12</v>
      </c>
      <c r="K484">
        <v>10.4</v>
      </c>
      <c r="L484">
        <v>15</v>
      </c>
      <c r="M484">
        <v>2.03</v>
      </c>
      <c r="P484">
        <v>19</v>
      </c>
      <c r="Q484">
        <v>25</v>
      </c>
      <c r="R484">
        <v>40</v>
      </c>
      <c r="S484">
        <v>0.4</v>
      </c>
      <c r="T484">
        <v>1</v>
      </c>
      <c r="U484">
        <v>15</v>
      </c>
      <c r="V484" t="s">
        <v>1155</v>
      </c>
      <c r="W484">
        <v>1304</v>
      </c>
      <c r="X484">
        <v>15</v>
      </c>
      <c r="Y484" t="s">
        <v>780</v>
      </c>
    </row>
    <row r="485" spans="1:25">
      <c r="A485" t="s">
        <v>1157</v>
      </c>
      <c r="B485" s="2" t="str">
        <f>Hyperlink("https://www.diodes.com/datasheet/download/DMN3020UTS.pdf")</f>
        <v>https://www.diodes.com/datasheet/download/DMN3020UTS.pdf</v>
      </c>
      <c r="C485" t="str">
        <f>Hyperlink("https://www.diodes.com/part/view/DMN3020UTS","DMN3020UTS")</f>
        <v>DMN3020UTS</v>
      </c>
      <c r="D485" t="s">
        <v>26</v>
      </c>
      <c r="E485" t="s">
        <v>27</v>
      </c>
      <c r="F485" t="s">
        <v>28</v>
      </c>
      <c r="G485" t="s">
        <v>29</v>
      </c>
      <c r="H485" t="s">
        <v>27</v>
      </c>
      <c r="I485">
        <v>30</v>
      </c>
      <c r="J485">
        <v>12</v>
      </c>
      <c r="K485">
        <v>6.8</v>
      </c>
      <c r="M485">
        <v>1.4</v>
      </c>
      <c r="P485">
        <v>20</v>
      </c>
      <c r="Q485">
        <v>25</v>
      </c>
      <c r="R485">
        <v>50</v>
      </c>
      <c r="T485">
        <v>1</v>
      </c>
      <c r="U485">
        <v>15</v>
      </c>
      <c r="V485" t="s">
        <v>1155</v>
      </c>
      <c r="W485">
        <v>1304</v>
      </c>
      <c r="X485">
        <v>15</v>
      </c>
      <c r="Y485" t="s">
        <v>716</v>
      </c>
    </row>
    <row r="486" spans="1:25">
      <c r="A486" t="s">
        <v>1158</v>
      </c>
      <c r="B486" s="2" t="str">
        <f>Hyperlink("https://www.diodes.com/datasheet/download/DMN3021LFDF.pdf")</f>
        <v>https://www.diodes.com/datasheet/download/DMN3021LFDF.pdf</v>
      </c>
      <c r="C486" t="str">
        <f>Hyperlink("https://www.diodes.com/part/view/DMN3021LFDF","DMN3021LFDF")</f>
        <v>DMN3021LFDF</v>
      </c>
      <c r="D486" t="s">
        <v>666</v>
      </c>
      <c r="E486" t="s">
        <v>27</v>
      </c>
      <c r="F486" t="s">
        <v>28</v>
      </c>
      <c r="G486" t="s">
        <v>29</v>
      </c>
      <c r="H486" t="s">
        <v>30</v>
      </c>
      <c r="I486">
        <v>30</v>
      </c>
      <c r="J486">
        <v>20</v>
      </c>
      <c r="K486">
        <v>9.3</v>
      </c>
      <c r="M486">
        <v>2.03</v>
      </c>
      <c r="O486">
        <v>15</v>
      </c>
      <c r="P486">
        <v>20</v>
      </c>
      <c r="T486">
        <v>2.2</v>
      </c>
      <c r="U486">
        <v>6.7</v>
      </c>
      <c r="V486">
        <v>14</v>
      </c>
      <c r="W486">
        <v>706</v>
      </c>
      <c r="X486">
        <v>15</v>
      </c>
      <c r="Y486" t="s">
        <v>780</v>
      </c>
    </row>
    <row r="487" spans="1:25">
      <c r="A487" t="s">
        <v>1159</v>
      </c>
      <c r="B487" s="2" t="str">
        <f>Hyperlink("https://www.diodes.com/datasheet/download/DMN3022LDG.pdf")</f>
        <v>https://www.diodes.com/datasheet/download/DMN3022LDG.pdf</v>
      </c>
      <c r="C487" t="str">
        <f>Hyperlink("https://www.diodes.com/part/view/DMN3022LDG","DMN3022LDG")</f>
        <v>DMN3022LDG</v>
      </c>
      <c r="D487" t="s">
        <v>1124</v>
      </c>
      <c r="E487" t="s">
        <v>30</v>
      </c>
      <c r="F487" t="s">
        <v>28</v>
      </c>
      <c r="G487" t="s">
        <v>40</v>
      </c>
      <c r="H487" t="s">
        <v>30</v>
      </c>
      <c r="I487">
        <v>30</v>
      </c>
      <c r="J487">
        <v>10</v>
      </c>
      <c r="K487">
        <v>7.6</v>
      </c>
      <c r="L487">
        <v>15</v>
      </c>
      <c r="M487">
        <v>1.96</v>
      </c>
      <c r="P487" t="s">
        <v>1160</v>
      </c>
      <c r="T487" t="s">
        <v>1161</v>
      </c>
      <c r="U487" t="s">
        <v>1162</v>
      </c>
      <c r="W487" t="s">
        <v>1163</v>
      </c>
      <c r="Y487" t="s">
        <v>1129</v>
      </c>
    </row>
    <row r="488" spans="1:25">
      <c r="A488" t="s">
        <v>1164</v>
      </c>
      <c r="B488" s="2" t="str">
        <f>Hyperlink("https://www.diodes.com/datasheet/download/DMN3022LFG.pdf")</f>
        <v>https://www.diodes.com/datasheet/download/DMN3022LFG.pdf</v>
      </c>
      <c r="C488" t="str">
        <f>Hyperlink("https://www.diodes.com/part/view/DMN3022LFG","DMN3022LFG")</f>
        <v>DMN3022LFG</v>
      </c>
      <c r="D488" t="s">
        <v>1124</v>
      </c>
      <c r="E488" t="s">
        <v>30</v>
      </c>
      <c r="F488" t="s">
        <v>28</v>
      </c>
      <c r="G488" t="s">
        <v>40</v>
      </c>
      <c r="H488" t="s">
        <v>30</v>
      </c>
      <c r="I488">
        <v>30</v>
      </c>
      <c r="J488">
        <v>10</v>
      </c>
      <c r="K488">
        <v>7.6</v>
      </c>
      <c r="L488">
        <v>15</v>
      </c>
      <c r="M488">
        <v>1.96</v>
      </c>
      <c r="P488" t="s">
        <v>1160</v>
      </c>
      <c r="T488" t="s">
        <v>1161</v>
      </c>
      <c r="U488" t="s">
        <v>1162</v>
      </c>
      <c r="W488" t="s">
        <v>1163</v>
      </c>
      <c r="Y488" t="s">
        <v>1129</v>
      </c>
    </row>
    <row r="489" spans="1:25">
      <c r="A489" t="s">
        <v>1165</v>
      </c>
      <c r="B489" s="2" t="str">
        <f>Hyperlink("https://www.diodes.com/datasheet/download/DMN3023L.pdf")</f>
        <v>https://www.diodes.com/datasheet/download/DMN3023L.pdf</v>
      </c>
      <c r="C489" t="str">
        <f>Hyperlink("https://www.diodes.com/part/view/DMN3023L","DMN3023L")</f>
        <v>DMN3023L</v>
      </c>
      <c r="D489" t="s">
        <v>26</v>
      </c>
      <c r="E489" t="s">
        <v>27</v>
      </c>
      <c r="F489" t="s">
        <v>28</v>
      </c>
      <c r="G489" t="s">
        <v>29</v>
      </c>
      <c r="H489" t="s">
        <v>27</v>
      </c>
      <c r="I489">
        <v>30</v>
      </c>
      <c r="J489">
        <v>20</v>
      </c>
      <c r="K489">
        <v>6.2</v>
      </c>
      <c r="M489">
        <v>1.3</v>
      </c>
      <c r="O489">
        <v>25</v>
      </c>
      <c r="P489">
        <v>28</v>
      </c>
      <c r="Q489">
        <v>68</v>
      </c>
      <c r="T489">
        <v>1.8</v>
      </c>
      <c r="U489">
        <v>8.3</v>
      </c>
      <c r="V489">
        <v>18.4</v>
      </c>
      <c r="W489">
        <v>873</v>
      </c>
      <c r="X489">
        <v>15</v>
      </c>
      <c r="Y489" t="s">
        <v>35</v>
      </c>
    </row>
    <row r="490" spans="1:25">
      <c r="A490" t="s">
        <v>1166</v>
      </c>
      <c r="B490" s="2" t="str">
        <f>Hyperlink("https://www.diodes.com/datasheet/download/DMN3024LK3.pdf")</f>
        <v>https://www.diodes.com/datasheet/download/DMN3024LK3.pdf</v>
      </c>
      <c r="C490" t="str">
        <f>Hyperlink("https://www.diodes.com/part/view/DMN3024LK3","DMN3024LK3")</f>
        <v>DMN3024LK3</v>
      </c>
      <c r="D490" t="s">
        <v>26</v>
      </c>
      <c r="E490" t="s">
        <v>27</v>
      </c>
      <c r="F490" t="s">
        <v>28</v>
      </c>
      <c r="G490" t="s">
        <v>29</v>
      </c>
      <c r="H490" t="s">
        <v>30</v>
      </c>
      <c r="I490">
        <v>30</v>
      </c>
      <c r="J490">
        <v>20</v>
      </c>
      <c r="K490">
        <v>14.4</v>
      </c>
      <c r="M490">
        <v>4.1</v>
      </c>
      <c r="O490">
        <v>24</v>
      </c>
      <c r="P490">
        <v>39</v>
      </c>
      <c r="T490">
        <v>3</v>
      </c>
      <c r="U490">
        <v>6.3</v>
      </c>
      <c r="V490">
        <v>12.9</v>
      </c>
      <c r="W490">
        <v>608</v>
      </c>
      <c r="Y490" t="s">
        <v>681</v>
      </c>
    </row>
    <row r="491" spans="1:25">
      <c r="A491" t="s">
        <v>1167</v>
      </c>
      <c r="B491" s="2" t="str">
        <f>Hyperlink("https://www.diodes.com/datasheet/download/DMN3024LSD.pdf")</f>
        <v>https://www.diodes.com/datasheet/download/DMN3024LSD.pdf</v>
      </c>
      <c r="C491" t="str">
        <f>Hyperlink("https://www.diodes.com/part/view/DMN3024LSD","DMN3024LSD")</f>
        <v>DMN3024LSD</v>
      </c>
      <c r="D491" t="s">
        <v>39</v>
      </c>
      <c r="E491" t="s">
        <v>27</v>
      </c>
      <c r="F491" t="s">
        <v>28</v>
      </c>
      <c r="G491" t="s">
        <v>40</v>
      </c>
      <c r="H491" t="s">
        <v>30</v>
      </c>
      <c r="I491">
        <v>30</v>
      </c>
      <c r="J491">
        <v>20</v>
      </c>
      <c r="K491">
        <v>7.2</v>
      </c>
      <c r="M491">
        <v>1.8</v>
      </c>
      <c r="O491">
        <v>24</v>
      </c>
      <c r="P491">
        <v>36</v>
      </c>
      <c r="T491">
        <v>3</v>
      </c>
      <c r="U491">
        <v>6.3</v>
      </c>
      <c r="V491">
        <v>12.9</v>
      </c>
      <c r="W491">
        <v>608</v>
      </c>
      <c r="Y491" t="s">
        <v>213</v>
      </c>
    </row>
    <row r="492" spans="1:25">
      <c r="A492" t="s">
        <v>1168</v>
      </c>
      <c r="B492" s="2" t="str">
        <f>Hyperlink("https://www.diodes.com/datasheet/download/DMN3024LSS.pdf")</f>
        <v>https://www.diodes.com/datasheet/download/DMN3024LSS.pdf</v>
      </c>
      <c r="C492" t="str">
        <f>Hyperlink("https://www.diodes.com/part/view/DMN3024LSS","DMN3024LSS")</f>
        <v>DMN3024LSS</v>
      </c>
      <c r="D492" t="s">
        <v>26</v>
      </c>
      <c r="E492" t="s">
        <v>27</v>
      </c>
      <c r="F492" t="s">
        <v>28</v>
      </c>
      <c r="G492" t="s">
        <v>29</v>
      </c>
      <c r="H492" t="s">
        <v>30</v>
      </c>
      <c r="I492">
        <v>30</v>
      </c>
      <c r="J492">
        <v>20</v>
      </c>
      <c r="K492">
        <v>8.5</v>
      </c>
      <c r="M492">
        <v>1.6</v>
      </c>
      <c r="O492">
        <v>24</v>
      </c>
      <c r="P492">
        <v>36</v>
      </c>
      <c r="T492">
        <v>3</v>
      </c>
      <c r="U492">
        <v>6.3</v>
      </c>
      <c r="V492">
        <v>12.9</v>
      </c>
      <c r="W492">
        <v>608</v>
      </c>
      <c r="Y492" t="s">
        <v>213</v>
      </c>
    </row>
    <row r="493" spans="1:25">
      <c r="A493" t="s">
        <v>1169</v>
      </c>
      <c r="B493" s="2" t="str">
        <f>Hyperlink("https://www.diodes.com/datasheet/download/DMN3024SFG.pdf")</f>
        <v>https://www.diodes.com/datasheet/download/DMN3024SFG.pdf</v>
      </c>
      <c r="C493" t="str">
        <f>Hyperlink("https://www.diodes.com/part/view/DMN3024SFG","DMN3024SFG")</f>
        <v>DMN3024SFG</v>
      </c>
      <c r="D493" t="s">
        <v>666</v>
      </c>
      <c r="E493" t="s">
        <v>27</v>
      </c>
      <c r="F493" t="s">
        <v>28</v>
      </c>
      <c r="G493" t="s">
        <v>29</v>
      </c>
      <c r="H493" t="s">
        <v>30</v>
      </c>
      <c r="I493">
        <v>30</v>
      </c>
      <c r="J493">
        <v>25</v>
      </c>
      <c r="K493">
        <v>7.5</v>
      </c>
      <c r="M493">
        <v>2.2</v>
      </c>
      <c r="O493">
        <v>23</v>
      </c>
      <c r="P493">
        <v>33</v>
      </c>
      <c r="T493">
        <v>2.4</v>
      </c>
      <c r="U493">
        <v>5</v>
      </c>
      <c r="V493">
        <v>10.5</v>
      </c>
      <c r="W493">
        <v>479</v>
      </c>
      <c r="Y493" t="s">
        <v>718</v>
      </c>
    </row>
    <row r="494" spans="1:25">
      <c r="A494" t="s">
        <v>1170</v>
      </c>
      <c r="B494" s="2" t="str">
        <f>Hyperlink("https://www.diodes.com/datasheet/download/DMN3025LFDF.pdf")</f>
        <v>https://www.diodes.com/datasheet/download/DMN3025LFDF.pdf</v>
      </c>
      <c r="C494" t="str">
        <f>Hyperlink("https://www.diodes.com/part/view/DMN3025LFDF","DMN3025LFDF")</f>
        <v>DMN3025LFDF</v>
      </c>
      <c r="D494" t="s">
        <v>666</v>
      </c>
      <c r="E494" t="s">
        <v>27</v>
      </c>
      <c r="F494" t="s">
        <v>28</v>
      </c>
      <c r="G494" t="s">
        <v>29</v>
      </c>
      <c r="H494" t="s">
        <v>30</v>
      </c>
      <c r="I494">
        <v>30</v>
      </c>
      <c r="J494">
        <v>20</v>
      </c>
      <c r="K494">
        <v>8.3</v>
      </c>
      <c r="M494">
        <v>2.1</v>
      </c>
      <c r="O494">
        <v>20.5</v>
      </c>
      <c r="P494">
        <v>30</v>
      </c>
      <c r="T494">
        <v>2</v>
      </c>
      <c r="U494">
        <v>6</v>
      </c>
      <c r="V494">
        <v>13.2</v>
      </c>
      <c r="W494">
        <v>641</v>
      </c>
      <c r="X494">
        <v>15</v>
      </c>
      <c r="Y494" t="s">
        <v>780</v>
      </c>
    </row>
    <row r="495" spans="1:25">
      <c r="A495" t="s">
        <v>1171</v>
      </c>
      <c r="B495" s="2" t="str">
        <f>Hyperlink("https://www.diodes.com/datasheet/download/DMN3025LFG.pdf")</f>
        <v>https://www.diodes.com/datasheet/download/DMN3025LFG.pdf</v>
      </c>
      <c r="C495" t="str">
        <f>Hyperlink("https://www.diodes.com/part/view/DMN3025LFG","DMN3025LFG")</f>
        <v>DMN3025LFG</v>
      </c>
      <c r="D495" t="s">
        <v>666</v>
      </c>
      <c r="E495" t="s">
        <v>27</v>
      </c>
      <c r="F495" t="s">
        <v>28</v>
      </c>
      <c r="G495" t="s">
        <v>29</v>
      </c>
      <c r="H495" t="s">
        <v>30</v>
      </c>
      <c r="I495">
        <v>30</v>
      </c>
      <c r="J495">
        <v>20</v>
      </c>
      <c r="K495">
        <v>7.5</v>
      </c>
      <c r="M495">
        <v>2</v>
      </c>
      <c r="O495">
        <v>18</v>
      </c>
      <c r="P495">
        <v>28</v>
      </c>
      <c r="T495">
        <v>2</v>
      </c>
      <c r="U495">
        <v>5.3</v>
      </c>
      <c r="V495">
        <v>11.6</v>
      </c>
      <c r="W495">
        <v>605</v>
      </c>
      <c r="Y495" t="s">
        <v>718</v>
      </c>
    </row>
    <row r="496" spans="1:25">
      <c r="A496" t="s">
        <v>1172</v>
      </c>
      <c r="B496" s="2" t="str">
        <f>Hyperlink("https://www.diodes.com/datasheet/download/DMN3025LFV.pdf")</f>
        <v>https://www.diodes.com/datasheet/download/DMN3025LFV.pdf</v>
      </c>
      <c r="C496" t="str">
        <f>Hyperlink("https://www.diodes.com/part/view/DMN3025LFV","DMN3025LFV")</f>
        <v>DMN3025LFV</v>
      </c>
      <c r="D496" t="s">
        <v>666</v>
      </c>
      <c r="E496" t="s">
        <v>30</v>
      </c>
      <c r="F496" t="s">
        <v>28</v>
      </c>
      <c r="G496" t="s">
        <v>29</v>
      </c>
      <c r="H496" t="s">
        <v>30</v>
      </c>
      <c r="I496">
        <v>30</v>
      </c>
      <c r="J496">
        <v>20</v>
      </c>
      <c r="L496">
        <v>25</v>
      </c>
      <c r="M496">
        <v>2.2</v>
      </c>
      <c r="O496">
        <v>18</v>
      </c>
      <c r="P496">
        <v>30</v>
      </c>
      <c r="T496">
        <v>2</v>
      </c>
      <c r="U496">
        <v>4.6</v>
      </c>
      <c r="V496">
        <v>9.8</v>
      </c>
      <c r="W496">
        <v>500</v>
      </c>
      <c r="X496">
        <v>15</v>
      </c>
      <c r="Y496" t="s">
        <v>783</v>
      </c>
    </row>
    <row r="497" spans="1:25">
      <c r="A497" t="s">
        <v>1173</v>
      </c>
      <c r="B497" s="2" t="str">
        <f>Hyperlink("https://www.diodes.com/datasheet/download/DMN3025LSS.pdf")</f>
        <v>https://www.diodes.com/datasheet/download/DMN3025LSS.pdf</v>
      </c>
      <c r="C497" t="str">
        <f>Hyperlink("https://www.diodes.com/part/view/DMN3025LSS","DMN3025LSS")</f>
        <v>DMN3025LSS</v>
      </c>
      <c r="D497" t="s">
        <v>26</v>
      </c>
      <c r="E497" t="s">
        <v>27</v>
      </c>
      <c r="F497" t="s">
        <v>28</v>
      </c>
      <c r="G497" t="s">
        <v>29</v>
      </c>
      <c r="H497" t="s">
        <v>30</v>
      </c>
      <c r="I497">
        <v>30</v>
      </c>
      <c r="J497">
        <v>20</v>
      </c>
      <c r="K497">
        <v>7.2</v>
      </c>
      <c r="M497">
        <v>1.7</v>
      </c>
      <c r="O497">
        <v>20</v>
      </c>
      <c r="P497">
        <v>31</v>
      </c>
      <c r="T497">
        <v>2</v>
      </c>
      <c r="U497">
        <v>6</v>
      </c>
      <c r="V497">
        <v>13.2</v>
      </c>
      <c r="W497">
        <v>641</v>
      </c>
      <c r="Y497" t="s">
        <v>213</v>
      </c>
    </row>
    <row r="498" spans="1:25">
      <c r="A498" t="s">
        <v>1174</v>
      </c>
      <c r="B498" s="2" t="str">
        <f>Hyperlink("https://www.diodes.com/datasheet/download/DMN3026LVT.pdf")</f>
        <v>https://www.diodes.com/datasheet/download/DMN3026LVT.pdf</v>
      </c>
      <c r="C498" t="str">
        <f>Hyperlink("https://www.diodes.com/part/view/DMN3026LVT","DMN3026LVT")</f>
        <v>DMN3026LVT</v>
      </c>
      <c r="D498" t="s">
        <v>26</v>
      </c>
      <c r="E498" t="s">
        <v>27</v>
      </c>
      <c r="F498" t="s">
        <v>28</v>
      </c>
      <c r="G498" t="s">
        <v>29</v>
      </c>
      <c r="H498" t="s">
        <v>30</v>
      </c>
      <c r="I498">
        <v>30</v>
      </c>
      <c r="J498">
        <v>20</v>
      </c>
      <c r="K498">
        <v>6.6</v>
      </c>
      <c r="M498">
        <v>1.5</v>
      </c>
      <c r="O498">
        <v>23</v>
      </c>
      <c r="P498">
        <v>30</v>
      </c>
      <c r="T498">
        <v>2</v>
      </c>
      <c r="U498">
        <v>5.7</v>
      </c>
      <c r="V498">
        <v>12.5</v>
      </c>
      <c r="W498">
        <v>643</v>
      </c>
      <c r="Y498" t="s">
        <v>183</v>
      </c>
    </row>
    <row r="499" spans="1:25">
      <c r="A499" t="s">
        <v>1175</v>
      </c>
      <c r="B499" s="2" t="str">
        <f>Hyperlink("https://www.diodes.com/datasheet/download/DMN3026LVTQ.pdf")</f>
        <v>https://www.diodes.com/datasheet/download/DMN3026LVTQ.pdf</v>
      </c>
      <c r="C499" t="str">
        <f>Hyperlink("https://www.diodes.com/part/view/DMN3026LVTQ","DMN3026LVTQ")</f>
        <v>DMN3026LVTQ</v>
      </c>
      <c r="D499" t="s">
        <v>666</v>
      </c>
      <c r="E499" t="s">
        <v>27</v>
      </c>
      <c r="F499" t="s">
        <v>37</v>
      </c>
      <c r="G499" t="s">
        <v>29</v>
      </c>
      <c r="H499" t="s">
        <v>30</v>
      </c>
      <c r="I499">
        <v>30</v>
      </c>
      <c r="J499">
        <v>20</v>
      </c>
      <c r="K499">
        <v>6.6</v>
      </c>
      <c r="M499">
        <v>1.5</v>
      </c>
      <c r="O499">
        <v>23</v>
      </c>
      <c r="P499">
        <v>30</v>
      </c>
      <c r="T499">
        <v>2</v>
      </c>
      <c r="U499">
        <v>5.7</v>
      </c>
      <c r="V499">
        <v>12.5</v>
      </c>
      <c r="W499">
        <v>643</v>
      </c>
      <c r="X499">
        <v>15</v>
      </c>
      <c r="Y499" t="s">
        <v>183</v>
      </c>
    </row>
    <row r="500" spans="1:25">
      <c r="A500" t="s">
        <v>1176</v>
      </c>
      <c r="B500" s="2" t="str">
        <f>Hyperlink("https://www.diodes.com/datasheet/download/DMN3027LFG.pdf")</f>
        <v>https://www.diodes.com/datasheet/download/DMN3027LFG.pdf</v>
      </c>
      <c r="C500" t="str">
        <f>Hyperlink("https://www.diodes.com/part/view/DMN3027LFG","DMN3027LFG")</f>
        <v>DMN3027LFG</v>
      </c>
      <c r="D500" t="s">
        <v>26</v>
      </c>
      <c r="E500" t="s">
        <v>30</v>
      </c>
      <c r="F500" t="s">
        <v>28</v>
      </c>
      <c r="G500" t="s">
        <v>29</v>
      </c>
      <c r="H500" t="s">
        <v>30</v>
      </c>
      <c r="I500">
        <v>30</v>
      </c>
      <c r="J500">
        <v>25</v>
      </c>
      <c r="K500">
        <v>8</v>
      </c>
      <c r="M500">
        <v>2.07</v>
      </c>
      <c r="O500">
        <v>18.6</v>
      </c>
      <c r="P500">
        <v>26.5</v>
      </c>
      <c r="T500">
        <v>1.8</v>
      </c>
      <c r="U500">
        <v>5.3</v>
      </c>
      <c r="V500">
        <v>11.3</v>
      </c>
      <c r="W500">
        <v>580</v>
      </c>
      <c r="X500">
        <v>15</v>
      </c>
      <c r="Y500" t="s">
        <v>718</v>
      </c>
    </row>
    <row r="501" spans="1:25">
      <c r="A501" t="s">
        <v>1177</v>
      </c>
      <c r="B501" s="2" t="str">
        <f>Hyperlink("https://www.diodes.com/datasheet/download/DMN3028L.pdf")</f>
        <v>https://www.diodes.com/datasheet/download/DMN3028L.pdf</v>
      </c>
      <c r="C501" t="str">
        <f>Hyperlink("https://www.diodes.com/part/view/DMN3028L","DMN3028L")</f>
        <v>DMN3028L</v>
      </c>
      <c r="D501" t="s">
        <v>26</v>
      </c>
      <c r="E501" t="s">
        <v>30</v>
      </c>
      <c r="F501" t="s">
        <v>28</v>
      </c>
      <c r="G501" t="s">
        <v>29</v>
      </c>
      <c r="H501" t="s">
        <v>27</v>
      </c>
      <c r="I501">
        <v>30</v>
      </c>
      <c r="J501">
        <v>20</v>
      </c>
      <c r="K501">
        <v>6.2</v>
      </c>
      <c r="M501">
        <v>1.4</v>
      </c>
      <c r="O501">
        <v>25</v>
      </c>
      <c r="P501">
        <v>28</v>
      </c>
      <c r="Q501">
        <v>68</v>
      </c>
      <c r="T501">
        <v>1.8</v>
      </c>
      <c r="U501">
        <v>7.8</v>
      </c>
      <c r="V501">
        <v>10.9</v>
      </c>
      <c r="Y501" t="s">
        <v>35</v>
      </c>
    </row>
    <row r="502" spans="1:25">
      <c r="A502" t="s">
        <v>1178</v>
      </c>
      <c r="B502" s="2" t="str">
        <f>Hyperlink("https://www.diodes.com/datasheet/download/DMN3028LQ.pdf")</f>
        <v>https://www.diodes.com/datasheet/download/DMN3028LQ.pdf</v>
      </c>
      <c r="C502" t="str">
        <f>Hyperlink("https://www.diodes.com/part/view/DMN3028LQ","DMN3028LQ")</f>
        <v>DMN3028LQ</v>
      </c>
      <c r="D502" t="s">
        <v>26</v>
      </c>
      <c r="E502" t="s">
        <v>27</v>
      </c>
      <c r="F502" t="s">
        <v>37</v>
      </c>
      <c r="G502" t="s">
        <v>29</v>
      </c>
      <c r="H502" t="s">
        <v>27</v>
      </c>
      <c r="I502">
        <v>30</v>
      </c>
      <c r="J502">
        <v>20</v>
      </c>
      <c r="K502">
        <v>6.2</v>
      </c>
      <c r="M502">
        <v>1.4</v>
      </c>
      <c r="O502">
        <v>25</v>
      </c>
      <c r="P502">
        <v>28</v>
      </c>
      <c r="Q502">
        <v>68</v>
      </c>
      <c r="T502">
        <v>1.8</v>
      </c>
      <c r="U502">
        <v>7.8</v>
      </c>
      <c r="V502">
        <v>10.9</v>
      </c>
      <c r="W502">
        <v>680</v>
      </c>
      <c r="X502">
        <v>15</v>
      </c>
      <c r="Y502" t="s">
        <v>35</v>
      </c>
    </row>
    <row r="503" spans="1:25">
      <c r="A503" t="s">
        <v>1179</v>
      </c>
      <c r="B503" s="2" t="str">
        <f>Hyperlink("https://www.diodes.com/datasheet/download/DMN3029LFG.pdf")</f>
        <v>https://www.diodes.com/datasheet/download/DMN3029LFG.pdf</v>
      </c>
      <c r="C503" t="str">
        <f>Hyperlink("https://www.diodes.com/part/view/DMN3029LFG","DMN3029LFG")</f>
        <v>DMN3029LFG</v>
      </c>
      <c r="D503" t="s">
        <v>26</v>
      </c>
      <c r="E503" t="s">
        <v>27</v>
      </c>
      <c r="F503" t="s">
        <v>28</v>
      </c>
      <c r="G503" t="s">
        <v>29</v>
      </c>
      <c r="H503" t="s">
        <v>30</v>
      </c>
      <c r="I503">
        <v>30</v>
      </c>
      <c r="J503">
        <v>25</v>
      </c>
      <c r="K503">
        <v>8</v>
      </c>
      <c r="M503">
        <v>2.07</v>
      </c>
      <c r="O503">
        <v>18.6</v>
      </c>
      <c r="P503">
        <v>26.5</v>
      </c>
      <c r="T503">
        <v>1.8</v>
      </c>
      <c r="U503">
        <v>5.3</v>
      </c>
      <c r="V503">
        <v>11.3</v>
      </c>
      <c r="W503">
        <v>580</v>
      </c>
      <c r="Y503" t="s">
        <v>718</v>
      </c>
    </row>
    <row r="504" spans="1:25">
      <c r="A504" t="s">
        <v>1180</v>
      </c>
      <c r="B504" s="2" t="str">
        <f>Hyperlink("https://www.diodes.com/datasheet/download/DMN3030LSS.pdf")</f>
        <v>https://www.diodes.com/datasheet/download/DMN3030LSS.pdf</v>
      </c>
      <c r="C504" t="str">
        <f>Hyperlink("https://www.diodes.com/part/view/DMN3030LSS","DMN3030LSS")</f>
        <v>DMN3030LSS</v>
      </c>
      <c r="D504" t="s">
        <v>26</v>
      </c>
      <c r="E504" t="s">
        <v>27</v>
      </c>
      <c r="F504" t="s">
        <v>28</v>
      </c>
      <c r="G504" t="s">
        <v>29</v>
      </c>
      <c r="H504" t="s">
        <v>30</v>
      </c>
      <c r="I504">
        <v>30</v>
      </c>
      <c r="J504">
        <v>25</v>
      </c>
      <c r="K504">
        <v>9</v>
      </c>
      <c r="M504">
        <v>2.5</v>
      </c>
      <c r="O504">
        <v>18</v>
      </c>
      <c r="P504">
        <v>30</v>
      </c>
      <c r="T504">
        <v>2.1</v>
      </c>
      <c r="U504">
        <v>7.6</v>
      </c>
      <c r="V504">
        <v>16.7</v>
      </c>
      <c r="W504">
        <v>741</v>
      </c>
      <c r="Y504" t="s">
        <v>213</v>
      </c>
    </row>
    <row r="505" spans="1:25">
      <c r="A505" t="s">
        <v>1181</v>
      </c>
      <c r="B505" s="2" t="str">
        <f>Hyperlink("https://www.diodes.com/datasheet/download/DMN3032L.pdf")</f>
        <v>https://www.diodes.com/datasheet/download/DMN3032L.pdf</v>
      </c>
      <c r="C505" t="str">
        <f>Hyperlink("https://www.diodes.com/part/view/DMN3032L","DMN3032L")</f>
        <v>DMN3032L</v>
      </c>
      <c r="D505" t="s">
        <v>849</v>
      </c>
      <c r="E505" t="s">
        <v>30</v>
      </c>
      <c r="F505" t="s">
        <v>28</v>
      </c>
      <c r="G505" t="s">
        <v>29</v>
      </c>
      <c r="H505" t="s">
        <v>30</v>
      </c>
      <c r="I505">
        <v>30</v>
      </c>
      <c r="J505">
        <v>20</v>
      </c>
      <c r="K505">
        <v>5.4</v>
      </c>
      <c r="M505">
        <v>1.3</v>
      </c>
      <c r="O505">
        <v>31</v>
      </c>
      <c r="P505">
        <v>45</v>
      </c>
      <c r="S505">
        <v>1</v>
      </c>
      <c r="T505">
        <v>2</v>
      </c>
      <c r="U505">
        <v>5</v>
      </c>
      <c r="W505">
        <v>481</v>
      </c>
      <c r="X505">
        <v>15</v>
      </c>
      <c r="Y505" t="s">
        <v>35</v>
      </c>
    </row>
    <row r="506" spans="1:25">
      <c r="A506" t="s">
        <v>1182</v>
      </c>
      <c r="B506" s="2" t="str">
        <f>Hyperlink("https://www.diodes.com/datasheet/download/DMN3032LE.pdf")</f>
        <v>https://www.diodes.com/datasheet/download/DMN3032LE.pdf</v>
      </c>
      <c r="C506" t="str">
        <f>Hyperlink("https://www.diodes.com/part/view/DMN3032LE","DMN3032LE")</f>
        <v>DMN3032LE</v>
      </c>
      <c r="D506" t="s">
        <v>26</v>
      </c>
      <c r="E506" t="s">
        <v>27</v>
      </c>
      <c r="F506" t="s">
        <v>28</v>
      </c>
      <c r="G506" t="s">
        <v>29</v>
      </c>
      <c r="H506" t="s">
        <v>30</v>
      </c>
      <c r="I506">
        <v>30</v>
      </c>
      <c r="J506">
        <v>20</v>
      </c>
      <c r="K506">
        <v>5.6</v>
      </c>
      <c r="M506">
        <v>1.8</v>
      </c>
      <c r="O506">
        <v>29</v>
      </c>
      <c r="P506">
        <v>35</v>
      </c>
      <c r="T506">
        <v>2</v>
      </c>
      <c r="V506">
        <v>11.3</v>
      </c>
      <c r="W506">
        <v>498</v>
      </c>
      <c r="Y506" t="s">
        <v>820</v>
      </c>
    </row>
    <row r="507" spans="1:25">
      <c r="A507" t="s">
        <v>1183</v>
      </c>
      <c r="B507" s="2" t="str">
        <f>Hyperlink("https://www.diodes.com/datasheet/download/DMN3032LFDB.pdf")</f>
        <v>https://www.diodes.com/datasheet/download/DMN3032LFDB.pdf</v>
      </c>
      <c r="C507" t="str">
        <f>Hyperlink("https://www.diodes.com/part/view/DMN3032LFDB","DMN3032LFDB")</f>
        <v>DMN3032LFDB</v>
      </c>
      <c r="D507" t="s">
        <v>39</v>
      </c>
      <c r="E507" t="s">
        <v>27</v>
      </c>
      <c r="F507" t="s">
        <v>28</v>
      </c>
      <c r="G507" t="s">
        <v>40</v>
      </c>
      <c r="H507" t="s">
        <v>30</v>
      </c>
      <c r="I507">
        <v>30</v>
      </c>
      <c r="J507">
        <v>20</v>
      </c>
      <c r="K507">
        <v>6.2</v>
      </c>
      <c r="M507">
        <v>1.7</v>
      </c>
      <c r="O507">
        <v>30</v>
      </c>
      <c r="P507">
        <v>42</v>
      </c>
      <c r="T507">
        <v>2</v>
      </c>
      <c r="U507">
        <v>5</v>
      </c>
      <c r="V507">
        <v>10.6</v>
      </c>
      <c r="W507">
        <v>500</v>
      </c>
      <c r="X507">
        <v>15</v>
      </c>
      <c r="Y507" t="s">
        <v>179</v>
      </c>
    </row>
    <row r="508" spans="1:25">
      <c r="A508" t="s">
        <v>1184</v>
      </c>
      <c r="B508" s="2" t="str">
        <f>Hyperlink("https://www.diodes.com/datasheet/download/DMN3032LFDBQ.pdf")</f>
        <v>https://www.diodes.com/datasheet/download/DMN3032LFDBQ.pdf</v>
      </c>
      <c r="C508" t="str">
        <f>Hyperlink("https://www.diodes.com/part/view/DMN3032LFDBQ","DMN3032LFDBQ")</f>
        <v>DMN3032LFDBQ</v>
      </c>
      <c r="D508" t="s">
        <v>39</v>
      </c>
      <c r="E508" t="s">
        <v>27</v>
      </c>
      <c r="F508" t="s">
        <v>37</v>
      </c>
      <c r="G508" t="s">
        <v>40</v>
      </c>
      <c r="H508" t="s">
        <v>30</v>
      </c>
      <c r="I508">
        <v>30</v>
      </c>
      <c r="J508">
        <v>20</v>
      </c>
      <c r="K508">
        <v>6.2</v>
      </c>
      <c r="M508">
        <v>1.7</v>
      </c>
      <c r="O508">
        <v>30</v>
      </c>
      <c r="P508">
        <v>42</v>
      </c>
      <c r="T508">
        <v>2</v>
      </c>
      <c r="U508">
        <v>5</v>
      </c>
      <c r="V508">
        <v>10.6</v>
      </c>
      <c r="W508">
        <v>500</v>
      </c>
      <c r="X508">
        <v>15</v>
      </c>
      <c r="Y508" t="s">
        <v>179</v>
      </c>
    </row>
    <row r="509" spans="1:25">
      <c r="A509" t="s">
        <v>1185</v>
      </c>
      <c r="B509" s="2" t="str">
        <f>Hyperlink("https://www.diodes.com/datasheet/download/DMN3032LFDBWQ.pdf")</f>
        <v>https://www.diodes.com/datasheet/download/DMN3032LFDBWQ.pdf</v>
      </c>
      <c r="C509" t="str">
        <f>Hyperlink("https://www.diodes.com/part/view/DMN3032LFDBWQ","DMN3032LFDBWQ")</f>
        <v>DMN3032LFDBWQ</v>
      </c>
      <c r="D509" t="s">
        <v>39</v>
      </c>
      <c r="E509" t="s">
        <v>27</v>
      </c>
      <c r="F509" t="s">
        <v>37</v>
      </c>
      <c r="G509" t="s">
        <v>40</v>
      </c>
      <c r="H509" t="s">
        <v>30</v>
      </c>
      <c r="I509">
        <v>30</v>
      </c>
      <c r="J509">
        <v>20</v>
      </c>
      <c r="K509">
        <v>5.5</v>
      </c>
      <c r="M509">
        <v>1.37</v>
      </c>
      <c r="O509">
        <v>30</v>
      </c>
      <c r="P509">
        <v>42</v>
      </c>
      <c r="T509">
        <v>2</v>
      </c>
      <c r="U509">
        <v>5</v>
      </c>
      <c r="V509">
        <v>10.6</v>
      </c>
      <c r="W509">
        <v>500</v>
      </c>
      <c r="X509">
        <v>15</v>
      </c>
      <c r="Y509" t="s">
        <v>1186</v>
      </c>
    </row>
    <row r="510" spans="1:25">
      <c r="A510" t="s">
        <v>1187</v>
      </c>
      <c r="B510" s="2" t="str">
        <f>Hyperlink("https://www.diodes.com/datasheet/download/DMN3032LQ.pdf")</f>
        <v>https://www.diodes.com/datasheet/download/DMN3032LQ.pdf</v>
      </c>
      <c r="C510" t="str">
        <f>Hyperlink("https://www.diodes.com/part/view/DMN3032LQ","DMN3032LQ")</f>
        <v>DMN3032LQ</v>
      </c>
      <c r="D510" t="s">
        <v>26</v>
      </c>
      <c r="E510" t="s">
        <v>27</v>
      </c>
      <c r="F510" t="s">
        <v>37</v>
      </c>
      <c r="G510" t="s">
        <v>29</v>
      </c>
      <c r="H510" t="s">
        <v>30</v>
      </c>
      <c r="I510">
        <v>30</v>
      </c>
      <c r="J510">
        <v>20</v>
      </c>
      <c r="K510">
        <v>5.4</v>
      </c>
      <c r="M510">
        <v>1.3</v>
      </c>
      <c r="O510">
        <v>31</v>
      </c>
      <c r="P510">
        <v>45</v>
      </c>
      <c r="S510">
        <v>1</v>
      </c>
      <c r="T510">
        <v>2</v>
      </c>
      <c r="U510">
        <v>5</v>
      </c>
      <c r="W510">
        <v>481</v>
      </c>
      <c r="X510">
        <v>15</v>
      </c>
      <c r="Y510" t="s">
        <v>35</v>
      </c>
    </row>
    <row r="511" spans="1:25">
      <c r="A511" t="s">
        <v>1188</v>
      </c>
      <c r="B511" s="2" t="str">
        <f>Hyperlink("https://www.diodes.com/datasheet/download/DMN3033LDM.pdf")</f>
        <v>https://www.diodes.com/datasheet/download/DMN3033LDM.pdf</v>
      </c>
      <c r="C511" t="str">
        <f>Hyperlink("https://www.diodes.com/part/view/DMN3033LDM","DMN3033LDM")</f>
        <v>DMN3033LDM</v>
      </c>
      <c r="D511" t="s">
        <v>26</v>
      </c>
      <c r="E511" t="s">
        <v>27</v>
      </c>
      <c r="F511" t="s">
        <v>28</v>
      </c>
      <c r="G511" t="s">
        <v>29</v>
      </c>
      <c r="H511" t="s">
        <v>30</v>
      </c>
      <c r="I511">
        <v>30</v>
      </c>
      <c r="J511">
        <v>20</v>
      </c>
      <c r="K511">
        <v>6.9</v>
      </c>
      <c r="M511">
        <v>2</v>
      </c>
      <c r="O511">
        <v>33</v>
      </c>
      <c r="P511">
        <v>40</v>
      </c>
      <c r="T511">
        <v>2.1</v>
      </c>
      <c r="U511">
        <v>6.4</v>
      </c>
      <c r="V511">
        <v>13</v>
      </c>
      <c r="W511">
        <v>755</v>
      </c>
      <c r="Y511" t="s">
        <v>339</v>
      </c>
    </row>
    <row r="512" spans="1:25">
      <c r="A512" t="s">
        <v>1189</v>
      </c>
      <c r="B512" s="2" t="str">
        <f>Hyperlink("https://www.diodes.com/datasheet/download/DMN3033LSD.pdf")</f>
        <v>https://www.diodes.com/datasheet/download/DMN3033LSD.pdf</v>
      </c>
      <c r="C512" t="str">
        <f>Hyperlink("https://www.diodes.com/part/view/DMN3033LSD","DMN3033LSD")</f>
        <v>DMN3033LSD</v>
      </c>
      <c r="D512" t="s">
        <v>39</v>
      </c>
      <c r="E512" t="s">
        <v>27</v>
      </c>
      <c r="F512" t="s">
        <v>28</v>
      </c>
      <c r="G512" t="s">
        <v>40</v>
      </c>
      <c r="H512" t="s">
        <v>30</v>
      </c>
      <c r="I512">
        <v>30</v>
      </c>
      <c r="J512">
        <v>20</v>
      </c>
      <c r="K512">
        <v>6.9</v>
      </c>
      <c r="M512">
        <v>2</v>
      </c>
      <c r="O512">
        <v>20</v>
      </c>
      <c r="P512">
        <v>27</v>
      </c>
      <c r="T512">
        <v>2.1</v>
      </c>
      <c r="U512">
        <v>6.4</v>
      </c>
      <c r="V512">
        <v>13</v>
      </c>
      <c r="W512">
        <v>725</v>
      </c>
      <c r="Y512" t="s">
        <v>213</v>
      </c>
    </row>
    <row r="513" spans="1:25">
      <c r="A513" t="s">
        <v>1190</v>
      </c>
      <c r="B513" s="2" t="str">
        <f>Hyperlink("https://www.diodes.com/datasheet/download/DMN3033LSDQ.pdf")</f>
        <v>https://www.diodes.com/datasheet/download/DMN3033LSDQ.pdf</v>
      </c>
      <c r="C513" t="str">
        <f>Hyperlink("https://www.diodes.com/part/view/DMN3033LSDQ","DMN3033LSDQ")</f>
        <v>DMN3033LSDQ</v>
      </c>
      <c r="D513" t="s">
        <v>39</v>
      </c>
      <c r="E513" t="s">
        <v>27</v>
      </c>
      <c r="F513" t="s">
        <v>37</v>
      </c>
      <c r="G513" t="s">
        <v>40</v>
      </c>
      <c r="H513" t="s">
        <v>30</v>
      </c>
      <c r="I513">
        <v>30</v>
      </c>
      <c r="J513">
        <v>20</v>
      </c>
      <c r="K513">
        <v>6.9</v>
      </c>
      <c r="M513">
        <v>2</v>
      </c>
      <c r="O513">
        <v>20</v>
      </c>
      <c r="P513">
        <v>27</v>
      </c>
      <c r="T513">
        <v>2.1</v>
      </c>
      <c r="U513">
        <v>6.4</v>
      </c>
      <c r="V513">
        <v>13</v>
      </c>
      <c r="W513">
        <v>725</v>
      </c>
      <c r="X513">
        <v>15</v>
      </c>
      <c r="Y513" t="s">
        <v>213</v>
      </c>
    </row>
    <row r="514" spans="1:25">
      <c r="A514" t="s">
        <v>1191</v>
      </c>
      <c r="B514" s="2" t="str">
        <f>Hyperlink("https://www.diodes.com/datasheet/download/DMN3033LSN.pdf")</f>
        <v>https://www.diodes.com/datasheet/download/DMN3033LSN.pdf</v>
      </c>
      <c r="C514" t="str">
        <f>Hyperlink("https://www.diodes.com/part/view/DMN3033LSN","DMN3033LSN")</f>
        <v>DMN3033LSN</v>
      </c>
      <c r="D514" t="s">
        <v>26</v>
      </c>
      <c r="E514" t="s">
        <v>27</v>
      </c>
      <c r="F514" t="s">
        <v>28</v>
      </c>
      <c r="G514" t="s">
        <v>29</v>
      </c>
      <c r="H514" t="s">
        <v>30</v>
      </c>
      <c r="I514">
        <v>30</v>
      </c>
      <c r="J514">
        <v>20</v>
      </c>
      <c r="K514">
        <v>6</v>
      </c>
      <c r="M514">
        <v>1.4</v>
      </c>
      <c r="O514">
        <v>30</v>
      </c>
      <c r="P514">
        <v>40</v>
      </c>
      <c r="T514">
        <v>2.1</v>
      </c>
      <c r="U514" t="s">
        <v>1192</v>
      </c>
      <c r="W514">
        <v>755</v>
      </c>
      <c r="Y514" t="s">
        <v>98</v>
      </c>
    </row>
    <row r="515" spans="1:25">
      <c r="A515" t="s">
        <v>1193</v>
      </c>
      <c r="B515" s="2" t="str">
        <f>Hyperlink("https://www.diodes.com/datasheet/download/DMN3033LSNQ.pdf")</f>
        <v>https://www.diodes.com/datasheet/download/DMN3033LSNQ.pdf</v>
      </c>
      <c r="C515" t="str">
        <f>Hyperlink("https://www.diodes.com/part/view/DMN3033LSNQ","DMN3033LSNQ")</f>
        <v>DMN3033LSNQ</v>
      </c>
      <c r="D515" t="s">
        <v>26</v>
      </c>
      <c r="E515" t="s">
        <v>27</v>
      </c>
      <c r="F515" t="s">
        <v>37</v>
      </c>
      <c r="G515" t="s">
        <v>29</v>
      </c>
      <c r="H515" t="s">
        <v>30</v>
      </c>
      <c r="I515">
        <v>30</v>
      </c>
      <c r="J515">
        <v>20</v>
      </c>
      <c r="K515">
        <v>6</v>
      </c>
      <c r="M515">
        <v>1.4</v>
      </c>
      <c r="O515">
        <v>30</v>
      </c>
      <c r="P515">
        <v>40</v>
      </c>
      <c r="T515">
        <v>2.1</v>
      </c>
      <c r="U515" t="s">
        <v>1192</v>
      </c>
      <c r="W515">
        <v>755</v>
      </c>
      <c r="X515">
        <v>10</v>
      </c>
      <c r="Y515" t="s">
        <v>98</v>
      </c>
    </row>
    <row r="516" spans="1:25">
      <c r="A516" t="s">
        <v>1194</v>
      </c>
      <c r="B516" s="2" t="str">
        <f>Hyperlink("https://www.diodes.com/datasheet/download/DMN3035LWN.pdf")</f>
        <v>https://www.diodes.com/datasheet/download/DMN3035LWN.pdf</v>
      </c>
      <c r="C516" t="str">
        <f>Hyperlink("https://www.diodes.com/part/view/DMN3035LWN","DMN3035LWN")</f>
        <v>DMN3035LWN</v>
      </c>
      <c r="D516" t="s">
        <v>1141</v>
      </c>
      <c r="E516" t="s">
        <v>30</v>
      </c>
      <c r="F516" t="s">
        <v>28</v>
      </c>
      <c r="G516" t="s">
        <v>40</v>
      </c>
      <c r="H516" t="s">
        <v>30</v>
      </c>
      <c r="I516">
        <v>30</v>
      </c>
      <c r="J516">
        <v>20</v>
      </c>
      <c r="K516">
        <v>5.5</v>
      </c>
      <c r="M516">
        <v>1.78</v>
      </c>
      <c r="O516">
        <v>35</v>
      </c>
      <c r="P516">
        <v>45</v>
      </c>
      <c r="T516">
        <v>2</v>
      </c>
      <c r="U516">
        <v>4.5</v>
      </c>
      <c r="V516">
        <v>9.9</v>
      </c>
      <c r="W516">
        <v>399</v>
      </c>
      <c r="X516">
        <v>15</v>
      </c>
      <c r="Y516" t="s">
        <v>1195</v>
      </c>
    </row>
    <row r="517" spans="1:25">
      <c r="A517" t="s">
        <v>1196</v>
      </c>
      <c r="B517" s="2" t="str">
        <f>Hyperlink("https://www.diodes.com/datasheet/download/DMN3042L.pdf")</f>
        <v>https://www.diodes.com/datasheet/download/DMN3042L.pdf</v>
      </c>
      <c r="C517" t="str">
        <f>Hyperlink("https://www.diodes.com/part/view/DMN3042L","DMN3042L")</f>
        <v>DMN3042L</v>
      </c>
      <c r="D517" t="s">
        <v>666</v>
      </c>
      <c r="E517" t="s">
        <v>30</v>
      </c>
      <c r="F517" t="s">
        <v>28</v>
      </c>
      <c r="G517" t="s">
        <v>29</v>
      </c>
      <c r="H517" t="s">
        <v>30</v>
      </c>
      <c r="I517">
        <v>30</v>
      </c>
      <c r="J517">
        <v>12</v>
      </c>
      <c r="K517">
        <v>5.8</v>
      </c>
      <c r="M517">
        <v>1.4</v>
      </c>
      <c r="O517">
        <v>26.5</v>
      </c>
      <c r="P517">
        <v>32</v>
      </c>
      <c r="Q517">
        <v>48</v>
      </c>
      <c r="T517">
        <v>1.4</v>
      </c>
      <c r="U517">
        <v>6.1</v>
      </c>
      <c r="V517">
        <v>13.3</v>
      </c>
      <c r="W517">
        <v>570</v>
      </c>
      <c r="X517">
        <v>15</v>
      </c>
      <c r="Y517" t="s">
        <v>32</v>
      </c>
    </row>
    <row r="518" spans="1:25">
      <c r="A518" t="s">
        <v>1197</v>
      </c>
      <c r="B518" s="2" t="str">
        <f>Hyperlink("https://www.diodes.com/datasheet/download/DMN3042LFDF.pdf")</f>
        <v>https://www.diodes.com/datasheet/download/DMN3042LFDF.pdf</v>
      </c>
      <c r="C518" t="str">
        <f>Hyperlink("https://www.diodes.com/part/view/DMN3042LFDF","DMN3042LFDF")</f>
        <v>DMN3042LFDF</v>
      </c>
      <c r="D518" t="s">
        <v>666</v>
      </c>
      <c r="E518" t="s">
        <v>27</v>
      </c>
      <c r="F518" t="s">
        <v>28</v>
      </c>
      <c r="G518" t="s">
        <v>29</v>
      </c>
      <c r="H518" t="s">
        <v>30</v>
      </c>
      <c r="I518">
        <v>30</v>
      </c>
      <c r="J518">
        <v>12</v>
      </c>
      <c r="K518">
        <v>7</v>
      </c>
      <c r="M518">
        <v>2.1</v>
      </c>
      <c r="O518">
        <v>28</v>
      </c>
      <c r="P518">
        <v>32</v>
      </c>
      <c r="Q518">
        <v>50</v>
      </c>
      <c r="T518">
        <v>1.4</v>
      </c>
      <c r="U518">
        <v>6.1</v>
      </c>
      <c r="V518">
        <v>13.3</v>
      </c>
      <c r="W518">
        <v>570</v>
      </c>
      <c r="X518">
        <v>15</v>
      </c>
      <c r="Y518" t="s">
        <v>780</v>
      </c>
    </row>
    <row r="519" spans="1:25">
      <c r="A519" t="s">
        <v>1198</v>
      </c>
      <c r="B519" s="2" t="str">
        <f>Hyperlink("https://www.diodes.com/datasheet/download/DMN3051L.pdf")</f>
        <v>https://www.diodes.com/datasheet/download/DMN3051L.pdf</v>
      </c>
      <c r="C519" t="str">
        <f>Hyperlink("https://www.diodes.com/part/view/DMN3051L","DMN3051L")</f>
        <v>DMN3051L</v>
      </c>
      <c r="D519" t="s">
        <v>26</v>
      </c>
      <c r="E519" t="s">
        <v>27</v>
      </c>
      <c r="F519" t="s">
        <v>28</v>
      </c>
      <c r="G519" t="s">
        <v>29</v>
      </c>
      <c r="H519" t="s">
        <v>30</v>
      </c>
      <c r="I519">
        <v>30</v>
      </c>
      <c r="J519">
        <v>20</v>
      </c>
      <c r="K519">
        <v>5.8</v>
      </c>
      <c r="M519">
        <v>1.4</v>
      </c>
      <c r="O519">
        <v>38</v>
      </c>
      <c r="P519">
        <v>64</v>
      </c>
      <c r="T519">
        <v>2.2</v>
      </c>
      <c r="V519">
        <v>9</v>
      </c>
      <c r="W519">
        <v>424</v>
      </c>
      <c r="Y519" t="s">
        <v>35</v>
      </c>
    </row>
    <row r="520" spans="1:25">
      <c r="A520" t="s">
        <v>1199</v>
      </c>
      <c r="B520" s="2" t="str">
        <f>Hyperlink("https://www.diodes.com/datasheet/download/DMN3051LDM.pdf")</f>
        <v>https://www.diodes.com/datasheet/download/DMN3051LDM.pdf</v>
      </c>
      <c r="C520" t="str">
        <f>Hyperlink("https://www.diodes.com/part/view/DMN3051LDM","DMN3051LDM")</f>
        <v>DMN3051LDM</v>
      </c>
      <c r="D520" t="s">
        <v>26</v>
      </c>
      <c r="E520" t="s">
        <v>27</v>
      </c>
      <c r="F520" t="s">
        <v>28</v>
      </c>
      <c r="G520" t="s">
        <v>29</v>
      </c>
      <c r="H520" t="s">
        <v>30</v>
      </c>
      <c r="I520">
        <v>30</v>
      </c>
      <c r="J520">
        <v>20</v>
      </c>
      <c r="K520">
        <v>4</v>
      </c>
      <c r="M520">
        <v>0.9</v>
      </c>
      <c r="O520">
        <v>38</v>
      </c>
      <c r="P520">
        <v>64</v>
      </c>
      <c r="T520">
        <v>2.2</v>
      </c>
      <c r="U520">
        <v>4.3</v>
      </c>
      <c r="V520">
        <v>8.6</v>
      </c>
      <c r="W520">
        <v>424</v>
      </c>
      <c r="Y520" t="s">
        <v>339</v>
      </c>
    </row>
    <row r="521" spans="1:25">
      <c r="A521" t="s">
        <v>1200</v>
      </c>
      <c r="B521" s="2" t="str">
        <f>Hyperlink("https://www.diodes.com/datasheet/download/DMN3053L.pdf")</f>
        <v>https://www.diodes.com/datasheet/download/DMN3053L.pdf</v>
      </c>
      <c r="C521" t="str">
        <f>Hyperlink("https://www.diodes.com/part/view/DMN3053L","DMN3053L")</f>
        <v>DMN3053L</v>
      </c>
      <c r="D521" t="s">
        <v>26</v>
      </c>
      <c r="E521" t="s">
        <v>27</v>
      </c>
      <c r="F521" t="s">
        <v>28</v>
      </c>
      <c r="G521" t="s">
        <v>29</v>
      </c>
      <c r="H521" t="s">
        <v>30</v>
      </c>
      <c r="I521">
        <v>30</v>
      </c>
      <c r="J521">
        <v>12</v>
      </c>
      <c r="K521">
        <v>4</v>
      </c>
      <c r="M521">
        <v>1.2</v>
      </c>
      <c r="O521">
        <v>45</v>
      </c>
      <c r="P521">
        <v>50</v>
      </c>
      <c r="Q521">
        <v>55</v>
      </c>
      <c r="T521">
        <v>1.4</v>
      </c>
      <c r="U521">
        <v>7.3</v>
      </c>
      <c r="V521">
        <v>17.2</v>
      </c>
      <c r="W521">
        <v>676</v>
      </c>
      <c r="Y521" t="s">
        <v>35</v>
      </c>
    </row>
    <row r="522" spans="1:25">
      <c r="A522" t="s">
        <v>1201</v>
      </c>
      <c r="B522" s="2" t="str">
        <f>Hyperlink("https://www.diodes.com/datasheet/download/DMN3055LFDB.pdf")</f>
        <v>https://www.diodes.com/datasheet/download/DMN3055LFDB.pdf</v>
      </c>
      <c r="C522" t="str">
        <f>Hyperlink("https://www.diodes.com/part/view/DMN3055LFDB","DMN3055LFDB")</f>
        <v>DMN3055LFDB</v>
      </c>
      <c r="D522" t="s">
        <v>39</v>
      </c>
      <c r="E522" t="s">
        <v>27</v>
      </c>
      <c r="F522" t="s">
        <v>28</v>
      </c>
      <c r="G522" t="s">
        <v>40</v>
      </c>
      <c r="H522" t="s">
        <v>30</v>
      </c>
      <c r="I522">
        <v>30</v>
      </c>
      <c r="J522">
        <v>12</v>
      </c>
      <c r="K522">
        <v>5</v>
      </c>
      <c r="M522">
        <v>1.36</v>
      </c>
      <c r="P522">
        <v>40</v>
      </c>
      <c r="Q522">
        <v>75</v>
      </c>
      <c r="T522">
        <v>1.5</v>
      </c>
      <c r="U522">
        <v>5.3</v>
      </c>
      <c r="V522">
        <v>11.2</v>
      </c>
      <c r="W522">
        <v>458</v>
      </c>
      <c r="X522">
        <v>15</v>
      </c>
      <c r="Y522" t="s">
        <v>179</v>
      </c>
    </row>
    <row r="523" spans="1:25">
      <c r="A523" t="s">
        <v>1202</v>
      </c>
      <c r="B523" s="2" t="str">
        <f>Hyperlink("https://www.diodes.com/datasheet/download/DMN3055LFDBQ.pdf")</f>
        <v>https://www.diodes.com/datasheet/download/DMN3055LFDBQ.pdf</v>
      </c>
      <c r="C523" t="str">
        <f>Hyperlink("https://www.diodes.com/part/view/DMN3055LFDBQ","DMN3055LFDBQ")</f>
        <v>DMN3055LFDBQ</v>
      </c>
      <c r="D523" t="s">
        <v>39</v>
      </c>
      <c r="E523" t="s">
        <v>27</v>
      </c>
      <c r="F523" t="s">
        <v>37</v>
      </c>
      <c r="G523" t="s">
        <v>40</v>
      </c>
      <c r="H523" t="s">
        <v>30</v>
      </c>
      <c r="I523">
        <v>30</v>
      </c>
      <c r="J523">
        <v>12</v>
      </c>
      <c r="K523">
        <v>5</v>
      </c>
      <c r="M523">
        <v>1.36</v>
      </c>
      <c r="P523">
        <v>40</v>
      </c>
      <c r="Q523">
        <v>75</v>
      </c>
      <c r="T523">
        <v>1.5</v>
      </c>
      <c r="U523">
        <v>5.3</v>
      </c>
      <c r="V523">
        <v>11.2</v>
      </c>
      <c r="Y523" t="s">
        <v>179</v>
      </c>
    </row>
    <row r="524" spans="1:25">
      <c r="A524" t="s">
        <v>1203</v>
      </c>
      <c r="B524" s="2" t="str">
        <f>Hyperlink("https://www.diodes.com/datasheet/download/DMN3060LCA3.pdf")</f>
        <v>https://www.diodes.com/datasheet/download/DMN3060LCA3.pdf</v>
      </c>
      <c r="C524" t="str">
        <f>Hyperlink("https://www.diodes.com/part/view/DMN3060LCA3","DMN3060LCA3")</f>
        <v>DMN3060LCA3</v>
      </c>
      <c r="D524" t="s">
        <v>26</v>
      </c>
      <c r="E524" t="s">
        <v>30</v>
      </c>
      <c r="F524" t="s">
        <v>28</v>
      </c>
      <c r="G524" t="s">
        <v>29</v>
      </c>
      <c r="H524" t="s">
        <v>27</v>
      </c>
      <c r="I524">
        <v>30</v>
      </c>
      <c r="J524">
        <v>12</v>
      </c>
      <c r="K524">
        <v>3.9</v>
      </c>
      <c r="M524">
        <v>1.35</v>
      </c>
      <c r="O524" t="s">
        <v>1204</v>
      </c>
      <c r="P524">
        <v>72</v>
      </c>
      <c r="Q524">
        <v>110</v>
      </c>
      <c r="R524">
        <v>160</v>
      </c>
      <c r="T524">
        <v>1.1</v>
      </c>
      <c r="U524">
        <v>1118</v>
      </c>
      <c r="W524">
        <v>128</v>
      </c>
      <c r="X524">
        <v>15</v>
      </c>
      <c r="Y524" t="s">
        <v>1205</v>
      </c>
    </row>
    <row r="525" spans="1:25">
      <c r="A525" t="s">
        <v>1206</v>
      </c>
      <c r="B525" s="2" t="str">
        <f>Hyperlink("https://www.diodes.com/datasheet/download/DMN3060LVT.pdf")</f>
        <v>https://www.diodes.com/datasheet/download/DMN3060LVT.pdf</v>
      </c>
      <c r="C525" t="str">
        <f>Hyperlink("https://www.diodes.com/part/view/DMN3060LVT","DMN3060LVT")</f>
        <v>DMN3060LVT</v>
      </c>
      <c r="D525" t="s">
        <v>1141</v>
      </c>
      <c r="E525" t="s">
        <v>30</v>
      </c>
      <c r="F525" t="s">
        <v>28</v>
      </c>
      <c r="G525" t="s">
        <v>40</v>
      </c>
      <c r="H525" t="s">
        <v>30</v>
      </c>
      <c r="I525" t="s">
        <v>374</v>
      </c>
      <c r="J525" t="s">
        <v>185</v>
      </c>
      <c r="K525" t="s">
        <v>1207</v>
      </c>
      <c r="M525">
        <v>1.16</v>
      </c>
      <c r="O525" t="s">
        <v>580</v>
      </c>
      <c r="P525" t="s">
        <v>215</v>
      </c>
      <c r="T525" t="s">
        <v>569</v>
      </c>
      <c r="U525" t="s">
        <v>1208</v>
      </c>
      <c r="V525" t="s">
        <v>1209</v>
      </c>
      <c r="W525" t="s">
        <v>1210</v>
      </c>
      <c r="X525" t="s">
        <v>357</v>
      </c>
      <c r="Y525" t="s">
        <v>183</v>
      </c>
    </row>
    <row r="526" spans="1:25">
      <c r="A526" t="s">
        <v>1211</v>
      </c>
      <c r="B526" s="2" t="str">
        <f>Hyperlink("https://www.diodes.com/datasheet/download/DMN3060LW.pdf")</f>
        <v>https://www.diodes.com/datasheet/download/DMN3060LW.pdf</v>
      </c>
      <c r="C526" t="str">
        <f>Hyperlink("https://www.diodes.com/part/view/DMN3060LW","DMN3060LW")</f>
        <v>DMN3060LW</v>
      </c>
      <c r="D526" t="s">
        <v>26</v>
      </c>
      <c r="E526" t="s">
        <v>30</v>
      </c>
      <c r="F526" t="s">
        <v>28</v>
      </c>
      <c r="G526" t="s">
        <v>29</v>
      </c>
      <c r="H526" t="s">
        <v>30</v>
      </c>
      <c r="I526">
        <v>30</v>
      </c>
      <c r="J526">
        <v>12</v>
      </c>
      <c r="K526">
        <v>2.6</v>
      </c>
      <c r="M526">
        <v>0.64</v>
      </c>
      <c r="O526">
        <v>60</v>
      </c>
      <c r="P526">
        <v>100</v>
      </c>
      <c r="T526">
        <v>1.8</v>
      </c>
      <c r="U526">
        <v>5.6</v>
      </c>
      <c r="W526">
        <v>395</v>
      </c>
      <c r="X526">
        <v>15</v>
      </c>
      <c r="Y526" t="s">
        <v>92</v>
      </c>
    </row>
    <row r="527" spans="1:25">
      <c r="A527" t="s">
        <v>1212</v>
      </c>
      <c r="B527" s="2" t="str">
        <f>Hyperlink("https://www.diodes.com/datasheet/download/DMN3060LWQ.pdf")</f>
        <v>https://www.diodes.com/datasheet/download/DMN3060LWQ.pdf</v>
      </c>
      <c r="C527" t="str">
        <f>Hyperlink("https://www.diodes.com/part/view/DMN3060LWQ","DMN3060LWQ")</f>
        <v>DMN3060LWQ</v>
      </c>
      <c r="D527" t="s">
        <v>26</v>
      </c>
      <c r="E527" t="s">
        <v>27</v>
      </c>
      <c r="F527" t="s">
        <v>37</v>
      </c>
      <c r="G527" t="s">
        <v>29</v>
      </c>
      <c r="H527" t="s">
        <v>30</v>
      </c>
      <c r="I527">
        <v>30</v>
      </c>
      <c r="J527">
        <v>12</v>
      </c>
      <c r="K527">
        <v>2.6</v>
      </c>
      <c r="M527">
        <v>0.64</v>
      </c>
      <c r="O527">
        <v>60</v>
      </c>
      <c r="P527">
        <v>100</v>
      </c>
      <c r="T527">
        <v>1.8</v>
      </c>
      <c r="U527">
        <v>5.6</v>
      </c>
      <c r="W527">
        <v>395</v>
      </c>
      <c r="X527">
        <v>15</v>
      </c>
      <c r="Y527" t="s">
        <v>92</v>
      </c>
    </row>
    <row r="528" spans="1:25">
      <c r="A528" t="s">
        <v>1213</v>
      </c>
      <c r="B528" s="2" t="str">
        <f>Hyperlink("https://www.diodes.com/datasheet/download/DMN3061LCA3.pdf")</f>
        <v>https://www.diodes.com/datasheet/download/DMN3061LCA3.pdf</v>
      </c>
      <c r="C528" t="str">
        <f>Hyperlink("https://www.diodes.com/part/view/DMN3061LCA3","DMN3061LCA3")</f>
        <v>DMN3061LCA3</v>
      </c>
      <c r="D528" t="s">
        <v>26</v>
      </c>
      <c r="E528" t="s">
        <v>30</v>
      </c>
      <c r="F528" t="s">
        <v>28</v>
      </c>
      <c r="G528" t="s">
        <v>29</v>
      </c>
      <c r="H528" t="s">
        <v>27</v>
      </c>
      <c r="I528">
        <v>30</v>
      </c>
      <c r="J528">
        <v>12</v>
      </c>
      <c r="K528">
        <v>4.6</v>
      </c>
      <c r="M528">
        <v>1.88</v>
      </c>
      <c r="P528">
        <v>62</v>
      </c>
      <c r="Q528">
        <v>2.5</v>
      </c>
      <c r="T528">
        <v>1.1</v>
      </c>
      <c r="U528">
        <v>1.4</v>
      </c>
      <c r="W528">
        <v>126</v>
      </c>
      <c r="X528">
        <v>15</v>
      </c>
      <c r="Y528" t="s">
        <v>1205</v>
      </c>
    </row>
    <row r="529" spans="1:25">
      <c r="A529" t="s">
        <v>1214</v>
      </c>
      <c r="B529" s="2" t="str">
        <f>Hyperlink("https://www.diodes.com/datasheet/download/DMN3061S.pdf")</f>
        <v>https://www.diodes.com/datasheet/download/DMN3061S.pdf</v>
      </c>
      <c r="C529" t="str">
        <f>Hyperlink("https://www.diodes.com/part/view/DMN3061S","DMN3061S")</f>
        <v>DMN3061S</v>
      </c>
      <c r="D529" t="s">
        <v>26</v>
      </c>
      <c r="E529" t="s">
        <v>30</v>
      </c>
      <c r="F529" t="s">
        <v>28</v>
      </c>
      <c r="G529" t="s">
        <v>29</v>
      </c>
      <c r="H529" t="s">
        <v>30</v>
      </c>
      <c r="I529">
        <v>30</v>
      </c>
      <c r="J529">
        <v>20</v>
      </c>
      <c r="K529">
        <v>2.3</v>
      </c>
      <c r="M529">
        <v>1.23</v>
      </c>
      <c r="O529">
        <v>59</v>
      </c>
      <c r="P529">
        <v>98</v>
      </c>
      <c r="Q529" t="s">
        <v>1215</v>
      </c>
      <c r="S529">
        <v>0.5</v>
      </c>
      <c r="T529">
        <v>1.8</v>
      </c>
      <c r="U529">
        <v>2.9</v>
      </c>
      <c r="V529">
        <v>5.5</v>
      </c>
      <c r="W529">
        <v>233</v>
      </c>
      <c r="X529">
        <v>15</v>
      </c>
      <c r="Y529" t="s">
        <v>35</v>
      </c>
    </row>
    <row r="530" spans="1:25">
      <c r="A530" t="s">
        <v>1216</v>
      </c>
      <c r="B530" s="2" t="str">
        <f>Hyperlink("https://www.diodes.com/datasheet/download/DMN3061SQ.pdf")</f>
        <v>https://www.diodes.com/datasheet/download/DMN3061SQ.pdf</v>
      </c>
      <c r="C530" t="str">
        <f>Hyperlink("https://www.diodes.com/part/view/DMN3061SQ","DMN3061SQ")</f>
        <v>DMN3061SQ</v>
      </c>
      <c r="D530" t="s">
        <v>849</v>
      </c>
      <c r="E530" t="s">
        <v>27</v>
      </c>
      <c r="F530" t="s">
        <v>37</v>
      </c>
      <c r="G530" t="s">
        <v>29</v>
      </c>
      <c r="H530" t="s">
        <v>30</v>
      </c>
      <c r="I530">
        <v>30</v>
      </c>
      <c r="J530">
        <v>20</v>
      </c>
      <c r="K530">
        <v>2.3</v>
      </c>
      <c r="M530">
        <v>0.77</v>
      </c>
      <c r="O530">
        <v>59</v>
      </c>
      <c r="P530">
        <v>98</v>
      </c>
      <c r="S530">
        <v>0.5</v>
      </c>
      <c r="T530">
        <v>1.8</v>
      </c>
      <c r="U530">
        <v>2.9</v>
      </c>
      <c r="V530">
        <v>5.5</v>
      </c>
      <c r="W530">
        <v>223</v>
      </c>
      <c r="X530">
        <v>15</v>
      </c>
      <c r="Y530" t="s">
        <v>35</v>
      </c>
    </row>
    <row r="531" spans="1:25">
      <c r="A531" t="s">
        <v>1217</v>
      </c>
      <c r="B531" s="2" t="str">
        <f>Hyperlink("https://www.diodes.com/datasheet/download/DMN3061SVT.pdf")</f>
        <v>https://www.diodes.com/datasheet/download/DMN3061SVT.pdf</v>
      </c>
      <c r="C531" t="str">
        <f>Hyperlink("https://www.diodes.com/part/view/DMN3061SVT","DMN3061SVT")</f>
        <v>DMN3061SVT</v>
      </c>
      <c r="D531" t="s">
        <v>39</v>
      </c>
      <c r="E531" t="s">
        <v>30</v>
      </c>
      <c r="F531" t="s">
        <v>28</v>
      </c>
      <c r="G531" t="s">
        <v>40</v>
      </c>
      <c r="H531" t="s">
        <v>30</v>
      </c>
      <c r="I531" t="s">
        <v>374</v>
      </c>
      <c r="J531" t="s">
        <v>116</v>
      </c>
      <c r="K531" t="s">
        <v>1218</v>
      </c>
      <c r="M531">
        <v>1.08</v>
      </c>
      <c r="O531" t="s">
        <v>580</v>
      </c>
      <c r="P531" t="s">
        <v>215</v>
      </c>
      <c r="T531" t="s">
        <v>569</v>
      </c>
      <c r="U531" t="s">
        <v>478</v>
      </c>
      <c r="V531" t="s">
        <v>1219</v>
      </c>
      <c r="W531" t="s">
        <v>1220</v>
      </c>
      <c r="X531" t="s">
        <v>357</v>
      </c>
      <c r="Y531" t="s">
        <v>183</v>
      </c>
    </row>
    <row r="532" spans="1:25">
      <c r="A532" t="s">
        <v>1221</v>
      </c>
      <c r="B532" s="2" t="str">
        <f>Hyperlink("https://www.diodes.com/datasheet/download/DMN3061SVTQ.pdf")</f>
        <v>https://www.diodes.com/datasheet/download/DMN3061SVTQ.pdf</v>
      </c>
      <c r="C532" t="str">
        <f>Hyperlink("https://www.diodes.com/part/view/DMN3061SVTQ","DMN3061SVTQ")</f>
        <v>DMN3061SVTQ</v>
      </c>
      <c r="D532" t="s">
        <v>39</v>
      </c>
      <c r="E532" t="s">
        <v>27</v>
      </c>
      <c r="F532" t="s">
        <v>37</v>
      </c>
      <c r="G532" t="s">
        <v>40</v>
      </c>
      <c r="H532" t="s">
        <v>30</v>
      </c>
      <c r="I532">
        <v>30</v>
      </c>
      <c r="J532">
        <v>20</v>
      </c>
      <c r="K532">
        <v>3.4</v>
      </c>
      <c r="M532">
        <v>1.08</v>
      </c>
      <c r="O532">
        <v>60</v>
      </c>
      <c r="P532">
        <v>100</v>
      </c>
      <c r="S532">
        <v>0.5</v>
      </c>
      <c r="T532">
        <v>1.8</v>
      </c>
      <c r="U532">
        <v>3.5</v>
      </c>
      <c r="V532">
        <v>6.6</v>
      </c>
      <c r="W532">
        <v>278</v>
      </c>
      <c r="X532">
        <v>15</v>
      </c>
      <c r="Y532" t="s">
        <v>183</v>
      </c>
    </row>
    <row r="533" spans="1:25">
      <c r="A533" t="s">
        <v>1222</v>
      </c>
      <c r="B533" s="2" t="str">
        <f>Hyperlink("https://www.diodes.com/datasheet/download/DMN3061SW.pdf")</f>
        <v>https://www.diodes.com/datasheet/download/DMN3061SW.pdf</v>
      </c>
      <c r="C533" t="str">
        <f>Hyperlink("https://www.diodes.com/part/view/DMN3061SW","DMN3061SW")</f>
        <v>DMN3061SW</v>
      </c>
      <c r="D533" t="s">
        <v>26</v>
      </c>
      <c r="E533" t="s">
        <v>30</v>
      </c>
      <c r="F533" t="s">
        <v>28</v>
      </c>
      <c r="G533" t="s">
        <v>29</v>
      </c>
      <c r="H533" t="s">
        <v>30</v>
      </c>
      <c r="I533">
        <v>30</v>
      </c>
      <c r="J533">
        <v>20</v>
      </c>
      <c r="K533">
        <v>2.7</v>
      </c>
      <c r="M533">
        <v>0.65</v>
      </c>
      <c r="O533">
        <v>60</v>
      </c>
      <c r="P533">
        <v>100</v>
      </c>
      <c r="T533">
        <v>1.8</v>
      </c>
      <c r="U533">
        <v>3.5</v>
      </c>
      <c r="W533">
        <v>278</v>
      </c>
      <c r="X533">
        <v>15</v>
      </c>
      <c r="Y533" t="s">
        <v>92</v>
      </c>
    </row>
    <row r="534" spans="1:25">
      <c r="A534" t="s">
        <v>1223</v>
      </c>
      <c r="B534" s="2" t="str">
        <f>Hyperlink("https://www.diodes.com/datasheet/download/DMN3061SWQ.pdf")</f>
        <v>https://www.diodes.com/datasheet/download/DMN3061SWQ.pdf</v>
      </c>
      <c r="C534" t="str">
        <f>Hyperlink("https://www.diodes.com/part/view/DMN3061SWQ","DMN3061SWQ")</f>
        <v>DMN3061SWQ</v>
      </c>
      <c r="D534" t="s">
        <v>26</v>
      </c>
      <c r="E534" t="s">
        <v>27</v>
      </c>
      <c r="F534" t="s">
        <v>37</v>
      </c>
      <c r="G534" t="s">
        <v>29</v>
      </c>
      <c r="H534" t="s">
        <v>30</v>
      </c>
      <c r="I534">
        <v>30</v>
      </c>
      <c r="J534">
        <v>20</v>
      </c>
      <c r="K534">
        <v>2.7</v>
      </c>
      <c r="M534">
        <v>0.65</v>
      </c>
      <c r="O534">
        <v>60</v>
      </c>
      <c r="P534">
        <v>100</v>
      </c>
      <c r="T534">
        <v>1.8</v>
      </c>
      <c r="U534">
        <v>3.5</v>
      </c>
      <c r="W534">
        <v>278</v>
      </c>
      <c r="X534">
        <v>15</v>
      </c>
      <c r="Y534" t="s">
        <v>92</v>
      </c>
    </row>
    <row r="535" spans="1:25">
      <c r="A535" t="s">
        <v>1224</v>
      </c>
      <c r="B535" s="2" t="str">
        <f>Hyperlink("https://www.diodes.com/datasheet/download/DMN3065LW.pdf")</f>
        <v>https://www.diodes.com/datasheet/download/DMN3065LW.pdf</v>
      </c>
      <c r="C535" t="str">
        <f>Hyperlink("https://www.diodes.com/part/view/DMN3065LW","DMN3065LW")</f>
        <v>DMN3065LW</v>
      </c>
      <c r="D535" t="s">
        <v>26</v>
      </c>
      <c r="E535" t="s">
        <v>27</v>
      </c>
      <c r="F535" t="s">
        <v>28</v>
      </c>
      <c r="G535" t="s">
        <v>29</v>
      </c>
      <c r="H535" t="s">
        <v>30</v>
      </c>
      <c r="I535">
        <v>30</v>
      </c>
      <c r="J535">
        <v>12</v>
      </c>
      <c r="K535">
        <v>4</v>
      </c>
      <c r="M535">
        <v>0.77</v>
      </c>
      <c r="O535">
        <v>52</v>
      </c>
      <c r="P535">
        <v>65</v>
      </c>
      <c r="Q535">
        <v>85</v>
      </c>
      <c r="T535">
        <v>1.5</v>
      </c>
      <c r="U535">
        <v>5.5</v>
      </c>
      <c r="V535">
        <v>11.7</v>
      </c>
      <c r="W535">
        <v>465</v>
      </c>
      <c r="Y535" t="s">
        <v>92</v>
      </c>
    </row>
    <row r="536" spans="1:25">
      <c r="A536" t="s">
        <v>1225</v>
      </c>
      <c r="B536" s="2" t="str">
        <f>Hyperlink("https://www.diodes.com/datasheet/download/DMN3066L.pdf")</f>
        <v>https://www.diodes.com/datasheet/download/DMN3066L.pdf</v>
      </c>
      <c r="C536" t="str">
        <f>Hyperlink("https://www.diodes.com/part/view/DMN3066L","DMN3066L")</f>
        <v>DMN3066L</v>
      </c>
      <c r="D536" t="s">
        <v>26</v>
      </c>
      <c r="E536" t="s">
        <v>30</v>
      </c>
      <c r="F536" t="s">
        <v>28</v>
      </c>
      <c r="G536" t="s">
        <v>29</v>
      </c>
      <c r="H536" t="s">
        <v>27</v>
      </c>
      <c r="I536">
        <v>30</v>
      </c>
      <c r="J536">
        <v>12</v>
      </c>
      <c r="K536">
        <v>3.6</v>
      </c>
      <c r="M536">
        <v>1.33</v>
      </c>
      <c r="P536">
        <v>67</v>
      </c>
      <c r="Q536">
        <v>98</v>
      </c>
      <c r="S536">
        <v>0.5</v>
      </c>
      <c r="T536">
        <v>1.5</v>
      </c>
      <c r="U536">
        <v>4.1</v>
      </c>
      <c r="W536">
        <v>353</v>
      </c>
      <c r="X536">
        <v>10</v>
      </c>
      <c r="Y536" t="s">
        <v>35</v>
      </c>
    </row>
    <row r="537" spans="1:25">
      <c r="A537" t="s">
        <v>1226</v>
      </c>
      <c r="B537" s="2" t="str">
        <f>Hyperlink("https://www.diodes.com/datasheet/download/DMN3066LQ.pdf")</f>
        <v>https://www.diodes.com/datasheet/download/DMN3066LQ.pdf</v>
      </c>
      <c r="C537" t="str">
        <f>Hyperlink("https://www.diodes.com/part/view/DMN3066LQ","DMN3066LQ")</f>
        <v>DMN3066LQ</v>
      </c>
      <c r="D537" t="s">
        <v>26</v>
      </c>
      <c r="E537" t="s">
        <v>27</v>
      </c>
      <c r="F537" t="s">
        <v>37</v>
      </c>
      <c r="G537" t="s">
        <v>29</v>
      </c>
      <c r="H537" t="s">
        <v>27</v>
      </c>
      <c r="I537">
        <v>30</v>
      </c>
      <c r="J537">
        <v>12</v>
      </c>
      <c r="K537">
        <v>3.6</v>
      </c>
      <c r="M537">
        <v>1.33</v>
      </c>
      <c r="P537">
        <v>67</v>
      </c>
      <c r="Q537">
        <v>98</v>
      </c>
      <c r="S537">
        <v>0.5</v>
      </c>
      <c r="T537">
        <v>1.5</v>
      </c>
      <c r="U537">
        <v>4.1</v>
      </c>
      <c r="W537">
        <v>353</v>
      </c>
      <c r="X537">
        <v>10</v>
      </c>
      <c r="Y537" t="s">
        <v>35</v>
      </c>
    </row>
    <row r="538" spans="1:25">
      <c r="A538" t="s">
        <v>1227</v>
      </c>
      <c r="B538" s="2" t="str">
        <f>Hyperlink("https://www.diodes.com/datasheet/download/DMN3066LVT.pdf")</f>
        <v>https://www.diodes.com/datasheet/download/DMN3066LVT.pdf</v>
      </c>
      <c r="C538" t="str">
        <f>Hyperlink("https://www.diodes.com/part/view/DMN3066LVT","DMN3066LVT")</f>
        <v>DMN3066LVT</v>
      </c>
      <c r="D538" t="s">
        <v>849</v>
      </c>
      <c r="E538" t="s">
        <v>30</v>
      </c>
      <c r="F538" t="s">
        <v>28</v>
      </c>
      <c r="G538" t="s">
        <v>29</v>
      </c>
      <c r="H538" t="s">
        <v>27</v>
      </c>
      <c r="I538">
        <v>30</v>
      </c>
      <c r="J538">
        <v>12</v>
      </c>
      <c r="K538">
        <v>3.6</v>
      </c>
      <c r="M538">
        <v>1.3</v>
      </c>
      <c r="P538">
        <v>67</v>
      </c>
      <c r="Q538">
        <v>98</v>
      </c>
      <c r="S538">
        <v>0.5</v>
      </c>
      <c r="T538">
        <v>1.5</v>
      </c>
      <c r="U538">
        <v>4</v>
      </c>
      <c r="W538">
        <v>328</v>
      </c>
      <c r="X538">
        <v>10</v>
      </c>
      <c r="Y538" t="s">
        <v>183</v>
      </c>
    </row>
    <row r="539" spans="1:25">
      <c r="A539" t="s">
        <v>1228</v>
      </c>
      <c r="B539" s="2" t="str">
        <f>Hyperlink("https://www.diodes.com/datasheet/download/DMN3066LVTQ.pdf")</f>
        <v>https://www.diodes.com/datasheet/download/DMN3066LVTQ.pdf</v>
      </c>
      <c r="C539" t="str">
        <f>Hyperlink("https://www.diodes.com/part/view/DMN3066LVTQ","DMN3066LVTQ")</f>
        <v>DMN3066LVTQ</v>
      </c>
      <c r="D539" t="s">
        <v>849</v>
      </c>
      <c r="E539" t="s">
        <v>27</v>
      </c>
      <c r="F539" t="s">
        <v>37</v>
      </c>
      <c r="G539" t="s">
        <v>29</v>
      </c>
      <c r="H539" t="s">
        <v>27</v>
      </c>
      <c r="I539">
        <v>30</v>
      </c>
      <c r="J539">
        <v>12</v>
      </c>
      <c r="K539">
        <v>3.6</v>
      </c>
      <c r="M539">
        <v>1.3</v>
      </c>
      <c r="P539">
        <v>67</v>
      </c>
      <c r="Q539">
        <v>98</v>
      </c>
      <c r="S539">
        <v>0.5</v>
      </c>
      <c r="T539">
        <v>1.5</v>
      </c>
      <c r="U539">
        <v>4</v>
      </c>
      <c r="W539">
        <v>328</v>
      </c>
      <c r="X539">
        <v>10</v>
      </c>
      <c r="Y539" t="s">
        <v>183</v>
      </c>
    </row>
    <row r="540" spans="1:25">
      <c r="A540" t="s">
        <v>1229</v>
      </c>
      <c r="B540" s="2" t="str">
        <f>Hyperlink("https://www.diodes.com/datasheet/download/DMN3067LW.pdf")</f>
        <v>https://www.diodes.com/datasheet/download/DMN3067LW.pdf</v>
      </c>
      <c r="C540" t="str">
        <f>Hyperlink("https://www.diodes.com/part/view/DMN3067LW","DMN3067LW")</f>
        <v>DMN3067LW</v>
      </c>
      <c r="D540" t="s">
        <v>26</v>
      </c>
      <c r="E540" t="s">
        <v>27</v>
      </c>
      <c r="F540" t="s">
        <v>28</v>
      </c>
      <c r="G540" t="s">
        <v>29</v>
      </c>
      <c r="H540" t="s">
        <v>27</v>
      </c>
      <c r="I540">
        <v>30</v>
      </c>
      <c r="J540">
        <v>12</v>
      </c>
      <c r="K540">
        <v>2.6</v>
      </c>
      <c r="M540">
        <v>1.1</v>
      </c>
      <c r="P540">
        <v>67</v>
      </c>
      <c r="Q540">
        <v>98</v>
      </c>
      <c r="T540">
        <v>1.5</v>
      </c>
      <c r="U540">
        <v>4.6</v>
      </c>
      <c r="W540">
        <v>447</v>
      </c>
      <c r="Y540" t="s">
        <v>92</v>
      </c>
    </row>
    <row r="541" spans="1:25">
      <c r="A541" t="s">
        <v>1230</v>
      </c>
      <c r="B541" s="2" t="str">
        <f>Hyperlink("https://www.diodes.com/datasheet/download/DMN3069L.pdf")</f>
        <v>https://www.diodes.com/datasheet/download/DMN3069L.pdf</v>
      </c>
      <c r="C541" t="str">
        <f>Hyperlink("https://www.diodes.com/part/view/DMN3069L","DMN3069L")</f>
        <v>DMN3069L</v>
      </c>
      <c r="D541" t="s">
        <v>26</v>
      </c>
      <c r="E541" t="s">
        <v>30</v>
      </c>
      <c r="F541" t="s">
        <v>28</v>
      </c>
      <c r="G541" t="s">
        <v>29</v>
      </c>
      <c r="H541" t="s">
        <v>27</v>
      </c>
      <c r="I541">
        <v>30</v>
      </c>
      <c r="J541">
        <v>20</v>
      </c>
      <c r="K541">
        <v>5.3</v>
      </c>
      <c r="M541">
        <v>1.3</v>
      </c>
      <c r="O541">
        <v>30</v>
      </c>
      <c r="P541">
        <v>40</v>
      </c>
      <c r="T541">
        <v>1.8</v>
      </c>
      <c r="U541">
        <v>4.3</v>
      </c>
      <c r="V541">
        <v>8.1</v>
      </c>
      <c r="W541">
        <v>309</v>
      </c>
      <c r="X541">
        <v>15</v>
      </c>
      <c r="Y541" t="s">
        <v>35</v>
      </c>
    </row>
    <row r="542" spans="1:25">
      <c r="A542" t="s">
        <v>1231</v>
      </c>
      <c r="B542" s="2" t="str">
        <f>Hyperlink("https://www.diodes.com/datasheet/download/DMN3070SSN.pdf")</f>
        <v>https://www.diodes.com/datasheet/download/DMN3070SSN.pdf</v>
      </c>
      <c r="C542" t="str">
        <f>Hyperlink("https://www.diodes.com/part/view/DMN3070SSN","DMN3070SSN")</f>
        <v>DMN3070SSN</v>
      </c>
      <c r="D542" t="s">
        <v>666</v>
      </c>
      <c r="E542" t="s">
        <v>27</v>
      </c>
      <c r="F542" t="s">
        <v>28</v>
      </c>
      <c r="G542" t="s">
        <v>29</v>
      </c>
      <c r="H542" t="s">
        <v>30</v>
      </c>
      <c r="I542">
        <v>30</v>
      </c>
      <c r="J542">
        <v>20</v>
      </c>
      <c r="K542">
        <v>5.1</v>
      </c>
      <c r="M542">
        <v>1.3</v>
      </c>
      <c r="O542">
        <v>40</v>
      </c>
      <c r="P542">
        <v>50</v>
      </c>
      <c r="Q542">
        <v>80</v>
      </c>
      <c r="T542">
        <v>2.1</v>
      </c>
      <c r="U542">
        <v>6</v>
      </c>
      <c r="V542">
        <v>13.2</v>
      </c>
      <c r="W542">
        <v>697</v>
      </c>
      <c r="Y542" t="s">
        <v>98</v>
      </c>
    </row>
    <row r="543" spans="1:25">
      <c r="A543" t="s">
        <v>1232</v>
      </c>
      <c r="B543" s="2" t="str">
        <f>Hyperlink("https://www.diodes.com/datasheet/download/DMN3071LFR4.pdf")</f>
        <v>https://www.diodes.com/datasheet/download/DMN3071LFR4.pdf</v>
      </c>
      <c r="C543" t="str">
        <f>Hyperlink("https://www.diodes.com/part/view/DMN3071LFR4","DMN3071LFR4")</f>
        <v>DMN3071LFR4</v>
      </c>
      <c r="D543" t="s">
        <v>26</v>
      </c>
      <c r="E543" t="s">
        <v>30</v>
      </c>
      <c r="F543" t="s">
        <v>28</v>
      </c>
      <c r="G543" t="s">
        <v>29</v>
      </c>
      <c r="H543" t="s">
        <v>30</v>
      </c>
      <c r="I543">
        <v>30</v>
      </c>
      <c r="J543">
        <v>20</v>
      </c>
      <c r="K543">
        <v>3.4</v>
      </c>
      <c r="M543">
        <v>1.1</v>
      </c>
      <c r="O543">
        <v>65</v>
      </c>
      <c r="P543">
        <v>75</v>
      </c>
      <c r="T543">
        <v>2.5</v>
      </c>
      <c r="U543">
        <v>2.1</v>
      </c>
      <c r="V543">
        <v>4.5</v>
      </c>
      <c r="W543">
        <v>190</v>
      </c>
      <c r="X543">
        <v>15</v>
      </c>
      <c r="Y543" t="s">
        <v>809</v>
      </c>
    </row>
    <row r="544" spans="1:25">
      <c r="A544" t="s">
        <v>1233</v>
      </c>
      <c r="B544" s="2" t="str">
        <f>Hyperlink("https://www.diodes.com/datasheet/download/DMN3071LVT.pdf")</f>
        <v>https://www.diodes.com/datasheet/download/DMN3071LVT.pdf</v>
      </c>
      <c r="C544" t="str">
        <f>Hyperlink("https://www.diodes.com/part/view/DMN3071LVT","DMN3071LVT")</f>
        <v>DMN3071LVT</v>
      </c>
      <c r="D544" t="s">
        <v>1234</v>
      </c>
      <c r="E544" t="s">
        <v>30</v>
      </c>
      <c r="F544" t="s">
        <v>28</v>
      </c>
      <c r="G544" t="s">
        <v>29</v>
      </c>
      <c r="H544" t="s">
        <v>30</v>
      </c>
      <c r="I544">
        <v>30</v>
      </c>
      <c r="J544">
        <v>20</v>
      </c>
      <c r="K544">
        <v>4</v>
      </c>
      <c r="M544">
        <v>1</v>
      </c>
      <c r="O544">
        <v>50</v>
      </c>
      <c r="P544">
        <v>90</v>
      </c>
      <c r="S544">
        <v>1</v>
      </c>
      <c r="T544">
        <v>2.5</v>
      </c>
      <c r="U544">
        <v>2.1</v>
      </c>
      <c r="V544">
        <v>4.5</v>
      </c>
      <c r="W544">
        <v>190</v>
      </c>
      <c r="X544">
        <v>15</v>
      </c>
      <c r="Y544" t="s">
        <v>183</v>
      </c>
    </row>
    <row r="545" spans="1:25">
      <c r="A545" t="s">
        <v>1235</v>
      </c>
      <c r="B545" s="2" t="str">
        <f>Hyperlink("https://www.diodes.com/datasheet/download/DMN30H4D0L.pdf")</f>
        <v>https://www.diodes.com/datasheet/download/DMN30H4D0L.pdf</v>
      </c>
      <c r="C545" t="str">
        <f>Hyperlink("https://www.diodes.com/part/view/DMN30H4D0L","DMN30H4D0L")</f>
        <v>DMN30H4D0L</v>
      </c>
      <c r="D545" t="s">
        <v>26</v>
      </c>
      <c r="E545" t="s">
        <v>27</v>
      </c>
      <c r="F545" t="s">
        <v>28</v>
      </c>
      <c r="G545" t="s">
        <v>29</v>
      </c>
      <c r="H545" t="s">
        <v>30</v>
      </c>
      <c r="I545">
        <v>300</v>
      </c>
      <c r="J545">
        <v>20</v>
      </c>
      <c r="K545">
        <v>0.25</v>
      </c>
      <c r="M545">
        <v>0.47</v>
      </c>
      <c r="O545">
        <v>4000</v>
      </c>
      <c r="P545">
        <v>4000</v>
      </c>
      <c r="T545">
        <v>3</v>
      </c>
      <c r="V545">
        <v>7.6</v>
      </c>
      <c r="W545">
        <v>187.3</v>
      </c>
      <c r="Y545" t="s">
        <v>35</v>
      </c>
    </row>
    <row r="546" spans="1:25">
      <c r="A546" t="s">
        <v>1236</v>
      </c>
      <c r="B546" s="2" t="str">
        <f>Hyperlink("https://www.diodes.com/datasheet/download/DMN30H4D0LFDE.pdf")</f>
        <v>https://www.diodes.com/datasheet/download/DMN30H4D0LFDE.pdf</v>
      </c>
      <c r="C546" t="str">
        <f>Hyperlink("https://www.diodes.com/part/view/DMN30H4D0LFDE","DMN30H4D0LFDE")</f>
        <v>DMN30H4D0LFDE</v>
      </c>
      <c r="D546" t="s">
        <v>26</v>
      </c>
      <c r="E546" t="s">
        <v>27</v>
      </c>
      <c r="F546" t="s">
        <v>28</v>
      </c>
      <c r="G546" t="s">
        <v>29</v>
      </c>
      <c r="H546" t="s">
        <v>30</v>
      </c>
      <c r="I546">
        <v>300</v>
      </c>
      <c r="J546">
        <v>20</v>
      </c>
      <c r="K546">
        <v>0.55</v>
      </c>
      <c r="M546">
        <v>1.98</v>
      </c>
      <c r="O546">
        <v>4000</v>
      </c>
      <c r="P546">
        <v>4000</v>
      </c>
      <c r="T546">
        <v>2.8</v>
      </c>
      <c r="V546">
        <v>7.6</v>
      </c>
      <c r="W546">
        <v>187.3</v>
      </c>
      <c r="Y546" t="s">
        <v>778</v>
      </c>
    </row>
    <row r="547" spans="1:25">
      <c r="A547" t="s">
        <v>1237</v>
      </c>
      <c r="B547" s="2" t="str">
        <f>Hyperlink("https://www.diodes.com/datasheet/download/DMN3110S.pdf")</f>
        <v>https://www.diodes.com/datasheet/download/DMN3110S.pdf</v>
      </c>
      <c r="C547" t="str">
        <f>Hyperlink("https://www.diodes.com/part/view/DMN3110S","DMN3110S")</f>
        <v>DMN3110S</v>
      </c>
      <c r="D547" t="s">
        <v>26</v>
      </c>
      <c r="E547" t="s">
        <v>27</v>
      </c>
      <c r="F547" t="s">
        <v>28</v>
      </c>
      <c r="G547" t="s">
        <v>29</v>
      </c>
      <c r="H547" t="s">
        <v>30</v>
      </c>
      <c r="I547">
        <v>30</v>
      </c>
      <c r="J547">
        <v>20</v>
      </c>
      <c r="K547">
        <v>3.3</v>
      </c>
      <c r="M547">
        <v>1.3</v>
      </c>
      <c r="O547">
        <v>73</v>
      </c>
      <c r="P547">
        <v>110</v>
      </c>
      <c r="T547">
        <v>3</v>
      </c>
      <c r="U547">
        <v>4.1</v>
      </c>
      <c r="V547">
        <v>8.6</v>
      </c>
      <c r="W547">
        <v>306</v>
      </c>
      <c r="Y547" t="s">
        <v>35</v>
      </c>
    </row>
    <row r="548" spans="1:25">
      <c r="A548" t="s">
        <v>1238</v>
      </c>
      <c r="B548" s="2" t="str">
        <f>Hyperlink("https://www.diodes.com/datasheet/download/DMN3112SQ.pdf")</f>
        <v>https://www.diodes.com/datasheet/download/DMN3112SQ.pdf</v>
      </c>
      <c r="C548" t="str">
        <f>Hyperlink("https://www.diodes.com/part/view/DMN3112SQ","DMN3112SQ")</f>
        <v>DMN3112SQ</v>
      </c>
      <c r="D548" t="s">
        <v>26</v>
      </c>
      <c r="E548" t="s">
        <v>27</v>
      </c>
      <c r="F548" t="s">
        <v>37</v>
      </c>
      <c r="G548" t="s">
        <v>29</v>
      </c>
      <c r="H548" t="s">
        <v>30</v>
      </c>
      <c r="I548">
        <v>30</v>
      </c>
      <c r="J548">
        <v>20</v>
      </c>
      <c r="K548">
        <v>5.8</v>
      </c>
      <c r="M548">
        <v>1.4</v>
      </c>
      <c r="O548">
        <v>57</v>
      </c>
      <c r="P548">
        <v>112</v>
      </c>
      <c r="T548">
        <v>2.2</v>
      </c>
      <c r="W548">
        <v>268</v>
      </c>
      <c r="X548">
        <v>5</v>
      </c>
      <c r="Y548" t="s">
        <v>35</v>
      </c>
    </row>
    <row r="549" spans="1:25">
      <c r="A549" t="s">
        <v>1239</v>
      </c>
      <c r="B549" s="2" t="str">
        <f>Hyperlink("https://www.diodes.com/datasheet/download/DMN3135LVT.pdf")</f>
        <v>https://www.diodes.com/datasheet/download/DMN3135LVT.pdf</v>
      </c>
      <c r="C549" t="str">
        <f>Hyperlink("https://www.diodes.com/part/view/DMN3135LVT","DMN3135LVT")</f>
        <v>DMN3135LVT</v>
      </c>
      <c r="D549" t="s">
        <v>39</v>
      </c>
      <c r="E549" t="s">
        <v>27</v>
      </c>
      <c r="F549" t="s">
        <v>28</v>
      </c>
      <c r="G549" t="s">
        <v>40</v>
      </c>
      <c r="H549" t="s">
        <v>30</v>
      </c>
      <c r="I549">
        <v>30</v>
      </c>
      <c r="J549">
        <v>20</v>
      </c>
      <c r="K549">
        <v>3.5</v>
      </c>
      <c r="M549">
        <v>1.27</v>
      </c>
      <c r="O549">
        <v>60</v>
      </c>
      <c r="P549">
        <v>100</v>
      </c>
      <c r="T549">
        <v>2.2</v>
      </c>
      <c r="U549">
        <v>4.1</v>
      </c>
      <c r="V549">
        <v>9</v>
      </c>
      <c r="W549">
        <v>305</v>
      </c>
      <c r="Y549" t="s">
        <v>183</v>
      </c>
    </row>
    <row r="550" spans="1:25">
      <c r="A550" t="s">
        <v>1240</v>
      </c>
      <c r="B550" s="2" t="str">
        <f>Hyperlink("https://www.diodes.com/datasheet/download/DMN313DLT.pdf")</f>
        <v>https://www.diodes.com/datasheet/download/DMN313DLT.pdf</v>
      </c>
      <c r="C550" t="str">
        <f>Hyperlink("https://www.diodes.com/part/view/DMN313DLT","DMN313DLT")</f>
        <v>DMN313DLT</v>
      </c>
      <c r="D550" t="s">
        <v>26</v>
      </c>
      <c r="E550" t="s">
        <v>27</v>
      </c>
      <c r="F550" t="s">
        <v>28</v>
      </c>
      <c r="G550" t="s">
        <v>29</v>
      </c>
      <c r="H550" t="s">
        <v>27</v>
      </c>
      <c r="I550">
        <v>30</v>
      </c>
      <c r="J550">
        <v>20</v>
      </c>
      <c r="K550">
        <v>0.27</v>
      </c>
      <c r="M550">
        <v>0.36</v>
      </c>
      <c r="P550" t="s">
        <v>1241</v>
      </c>
      <c r="Q550">
        <v>3200</v>
      </c>
      <c r="T550">
        <v>1.5</v>
      </c>
      <c r="U550">
        <v>0.5</v>
      </c>
      <c r="W550">
        <v>36.3</v>
      </c>
      <c r="Y550" t="s">
        <v>56</v>
      </c>
    </row>
    <row r="551" spans="1:25">
      <c r="A551" t="s">
        <v>1242</v>
      </c>
      <c r="B551" s="2" t="str">
        <f>Hyperlink("https://www.diodes.com/datasheet/download/DMN3150L.pdf")</f>
        <v>https://www.diodes.com/datasheet/download/DMN3150L.pdf</v>
      </c>
      <c r="C551" t="str">
        <f>Hyperlink("https://www.diodes.com/part/view/DMN3150L","DMN3150L")</f>
        <v>DMN3150L</v>
      </c>
      <c r="D551" t="s">
        <v>26</v>
      </c>
      <c r="E551" t="s">
        <v>27</v>
      </c>
      <c r="F551" t="s">
        <v>28</v>
      </c>
      <c r="G551" t="s">
        <v>29</v>
      </c>
      <c r="H551" t="s">
        <v>30</v>
      </c>
      <c r="I551">
        <v>30</v>
      </c>
      <c r="J551">
        <v>12</v>
      </c>
      <c r="K551">
        <v>3.8</v>
      </c>
      <c r="M551">
        <v>1.4</v>
      </c>
      <c r="O551">
        <v>54</v>
      </c>
      <c r="P551">
        <v>72</v>
      </c>
      <c r="Q551">
        <v>115</v>
      </c>
      <c r="T551">
        <v>1.4</v>
      </c>
      <c r="U551">
        <v>3.7</v>
      </c>
      <c r="W551">
        <v>305</v>
      </c>
      <c r="Y551" t="s">
        <v>35</v>
      </c>
    </row>
    <row r="552" spans="1:25">
      <c r="A552" t="s">
        <v>1243</v>
      </c>
      <c r="B552" s="2" t="str">
        <f>Hyperlink("https://www.diodes.com/datasheet/download/DMN3150LW.pdf")</f>
        <v>https://www.diodes.com/datasheet/download/DMN3150LW.pdf</v>
      </c>
      <c r="C552" t="str">
        <f>Hyperlink("https://www.diodes.com/part/view/DMN3150LW","DMN3150LW")</f>
        <v>DMN3150LW</v>
      </c>
      <c r="D552" t="s">
        <v>631</v>
      </c>
      <c r="E552" t="s">
        <v>27</v>
      </c>
      <c r="F552" t="s">
        <v>28</v>
      </c>
      <c r="G552" t="s">
        <v>29</v>
      </c>
      <c r="H552" t="s">
        <v>30</v>
      </c>
      <c r="I552">
        <v>28</v>
      </c>
      <c r="J552">
        <v>12</v>
      </c>
      <c r="K552">
        <v>1.6</v>
      </c>
      <c r="M552">
        <v>0.35</v>
      </c>
      <c r="P552">
        <v>88</v>
      </c>
      <c r="Q552">
        <v>138</v>
      </c>
      <c r="S552">
        <v>0.62</v>
      </c>
      <c r="T552">
        <v>1.4</v>
      </c>
      <c r="W552">
        <v>300</v>
      </c>
      <c r="Y552" t="s">
        <v>92</v>
      </c>
    </row>
    <row r="553" spans="1:25">
      <c r="A553" t="s">
        <v>1244</v>
      </c>
      <c r="B553" s="2" t="str">
        <f>Hyperlink("https://www.diodes.com/datasheet/download/DMN3190LDW.pdf")</f>
        <v>https://www.diodes.com/datasheet/download/DMN3190LDW.pdf</v>
      </c>
      <c r="C553" t="str">
        <f>Hyperlink("https://www.diodes.com/part/view/DMN3190LDW","DMN3190LDW")</f>
        <v>DMN3190LDW</v>
      </c>
      <c r="D553" t="s">
        <v>39</v>
      </c>
      <c r="E553" t="s">
        <v>27</v>
      </c>
      <c r="F553" t="s">
        <v>28</v>
      </c>
      <c r="G553" t="s">
        <v>40</v>
      </c>
      <c r="H553" t="s">
        <v>27</v>
      </c>
      <c r="I553">
        <v>30</v>
      </c>
      <c r="J553">
        <v>20</v>
      </c>
      <c r="K553">
        <v>1</v>
      </c>
      <c r="M553">
        <v>0.4</v>
      </c>
      <c r="O553">
        <v>190</v>
      </c>
      <c r="P553">
        <v>335</v>
      </c>
      <c r="T553">
        <v>2.8</v>
      </c>
      <c r="U553">
        <v>0.9</v>
      </c>
      <c r="V553">
        <v>2</v>
      </c>
      <c r="W553">
        <v>87</v>
      </c>
      <c r="Y553" t="s">
        <v>42</v>
      </c>
    </row>
    <row r="554" spans="1:25">
      <c r="A554" t="s">
        <v>1245</v>
      </c>
      <c r="B554" s="2" t="str">
        <f>Hyperlink("https://www.diodes.com/datasheet/download/DMN3190LDWQ.pdf")</f>
        <v>https://www.diodes.com/datasheet/download/DMN3190LDWQ.pdf</v>
      </c>
      <c r="C554" t="str">
        <f>Hyperlink("https://www.diodes.com/part/view/DMN3190LDWQ","DMN3190LDWQ")</f>
        <v>DMN3190LDWQ</v>
      </c>
      <c r="D554" t="s">
        <v>39</v>
      </c>
      <c r="E554" t="s">
        <v>27</v>
      </c>
      <c r="F554" t="s">
        <v>37</v>
      </c>
      <c r="G554" t="s">
        <v>40</v>
      </c>
      <c r="H554" t="s">
        <v>27</v>
      </c>
      <c r="I554">
        <v>30</v>
      </c>
      <c r="J554">
        <v>20</v>
      </c>
      <c r="K554">
        <v>1</v>
      </c>
      <c r="M554">
        <v>0.4</v>
      </c>
      <c r="O554">
        <v>190</v>
      </c>
      <c r="P554">
        <v>335</v>
      </c>
      <c r="T554">
        <v>2.8</v>
      </c>
      <c r="U554">
        <v>0.9</v>
      </c>
      <c r="V554">
        <v>2</v>
      </c>
      <c r="W554">
        <v>87</v>
      </c>
      <c r="X554">
        <v>20</v>
      </c>
      <c r="Y554" t="s">
        <v>42</v>
      </c>
    </row>
    <row r="555" spans="1:25">
      <c r="A555" t="s">
        <v>1246</v>
      </c>
      <c r="B555" s="2" t="str">
        <f>Hyperlink("https://www.diodes.com/datasheet/download/DMN31D4UFZ.pdf")</f>
        <v>https://www.diodes.com/datasheet/download/DMN31D4UFZ.pdf</v>
      </c>
      <c r="C555" t="str">
        <f>Hyperlink("https://www.diodes.com/part/view/DMN31D4UFZ","DMN31D4UFZ")</f>
        <v>DMN31D4UFZ</v>
      </c>
      <c r="D555" t="s">
        <v>849</v>
      </c>
      <c r="E555" t="s">
        <v>30</v>
      </c>
      <c r="F555" t="s">
        <v>28</v>
      </c>
      <c r="G555" t="s">
        <v>29</v>
      </c>
      <c r="H555" t="s">
        <v>27</v>
      </c>
      <c r="I555">
        <v>30</v>
      </c>
      <c r="J555">
        <v>12</v>
      </c>
      <c r="K555">
        <v>0.31</v>
      </c>
      <c r="M555">
        <v>0.3</v>
      </c>
      <c r="P555">
        <v>1500</v>
      </c>
      <c r="Q555">
        <v>2000</v>
      </c>
      <c r="R555">
        <v>3000</v>
      </c>
      <c r="S555">
        <v>0.4</v>
      </c>
      <c r="T555">
        <v>1</v>
      </c>
      <c r="U555">
        <v>0.3</v>
      </c>
      <c r="W555">
        <v>15.4</v>
      </c>
      <c r="X555">
        <v>15</v>
      </c>
      <c r="Y555" t="s">
        <v>1078</v>
      </c>
    </row>
    <row r="556" spans="1:25">
      <c r="A556" t="s">
        <v>1247</v>
      </c>
      <c r="B556" s="2" t="str">
        <f>Hyperlink("https://www.diodes.com/datasheet/download/DMN31D5L.pdf")</f>
        <v>https://www.diodes.com/datasheet/download/DMN31D5L.pdf</v>
      </c>
      <c r="C556" t="str">
        <f>Hyperlink("https://www.diodes.com/part/view/DMN31D5L","DMN31D5L")</f>
        <v>DMN31D5L</v>
      </c>
      <c r="D556" t="s">
        <v>26</v>
      </c>
      <c r="E556" t="s">
        <v>30</v>
      </c>
      <c r="F556" t="s">
        <v>28</v>
      </c>
      <c r="G556" t="s">
        <v>29</v>
      </c>
      <c r="H556" t="s">
        <v>27</v>
      </c>
      <c r="I556">
        <v>30</v>
      </c>
      <c r="J556">
        <v>20</v>
      </c>
      <c r="K556">
        <v>0.5</v>
      </c>
      <c r="M556">
        <v>0.52</v>
      </c>
      <c r="P556">
        <v>1500</v>
      </c>
      <c r="Q556">
        <v>2000</v>
      </c>
      <c r="S556">
        <v>0.8</v>
      </c>
      <c r="T556">
        <v>1.6</v>
      </c>
      <c r="U556">
        <v>0.5</v>
      </c>
      <c r="V556">
        <v>1.2</v>
      </c>
      <c r="W556">
        <v>50</v>
      </c>
      <c r="X556">
        <v>15</v>
      </c>
      <c r="Y556" t="s">
        <v>35</v>
      </c>
    </row>
    <row r="557" spans="1:25">
      <c r="A557" t="s">
        <v>1248</v>
      </c>
      <c r="B557" s="2" t="str">
        <f>Hyperlink("https://www.diodes.com/datasheet/download/DMN31D5UDA.pdf")</f>
        <v>https://www.diodes.com/datasheet/download/DMN31D5UDA.pdf</v>
      </c>
      <c r="C557" t="str">
        <f>Hyperlink("https://www.diodes.com/part/view/DMN31D5UDA","DMN31D5UDA")</f>
        <v>DMN31D5UDA</v>
      </c>
      <c r="D557" t="s">
        <v>39</v>
      </c>
      <c r="E557" t="s">
        <v>30</v>
      </c>
      <c r="F557" t="s">
        <v>28</v>
      </c>
      <c r="G557" t="s">
        <v>40</v>
      </c>
      <c r="H557" t="s">
        <v>27</v>
      </c>
      <c r="I557">
        <v>30</v>
      </c>
      <c r="J557">
        <v>12</v>
      </c>
      <c r="K557">
        <v>0.4</v>
      </c>
      <c r="M557">
        <v>0.37</v>
      </c>
      <c r="P557">
        <v>1500</v>
      </c>
      <c r="Q557">
        <v>2000</v>
      </c>
      <c r="R557">
        <v>3000</v>
      </c>
      <c r="S557">
        <v>0.4</v>
      </c>
      <c r="T557">
        <v>1</v>
      </c>
      <c r="U557">
        <v>0.38</v>
      </c>
      <c r="W557">
        <v>22.6</v>
      </c>
      <c r="X557">
        <v>15</v>
      </c>
      <c r="Y557" t="s">
        <v>298</v>
      </c>
    </row>
    <row r="558" spans="1:25">
      <c r="A558" t="s">
        <v>1249</v>
      </c>
      <c r="B558" s="2" t="str">
        <f>Hyperlink("https://www.diodes.com/datasheet/download/DMN31D5UDAQ.pdf")</f>
        <v>https://www.diodes.com/datasheet/download/DMN31D5UDAQ.pdf</v>
      </c>
      <c r="C558" t="str">
        <f>Hyperlink("https://www.diodes.com/part/view/DMN31D5UDAQ","DMN31D5UDAQ")</f>
        <v>DMN31D5UDAQ</v>
      </c>
      <c r="D558" t="s">
        <v>1250</v>
      </c>
      <c r="E558" t="s">
        <v>27</v>
      </c>
      <c r="F558" t="s">
        <v>37</v>
      </c>
      <c r="G558" t="s">
        <v>40</v>
      </c>
      <c r="H558" t="s">
        <v>27</v>
      </c>
      <c r="I558">
        <v>30</v>
      </c>
      <c r="J558">
        <v>12</v>
      </c>
      <c r="K558">
        <v>0.4</v>
      </c>
      <c r="M558">
        <v>0.37</v>
      </c>
      <c r="P558">
        <v>1500</v>
      </c>
      <c r="Q558">
        <v>2000</v>
      </c>
      <c r="R558">
        <v>3000</v>
      </c>
      <c r="S558">
        <v>0.4</v>
      </c>
      <c r="T558">
        <v>1</v>
      </c>
      <c r="U558">
        <v>0.38</v>
      </c>
      <c r="W558">
        <v>22.6</v>
      </c>
      <c r="X558">
        <v>15</v>
      </c>
      <c r="Y558" t="s">
        <v>298</v>
      </c>
    </row>
    <row r="559" spans="1:25">
      <c r="A559" t="s">
        <v>1251</v>
      </c>
      <c r="B559" s="2" t="str">
        <f>Hyperlink("https://www.diodes.com/datasheet/download/DMN31D5UDJ.pdf")</f>
        <v>https://www.diodes.com/datasheet/download/DMN31D5UDJ.pdf</v>
      </c>
      <c r="C559" t="str">
        <f>Hyperlink("https://www.diodes.com/part/view/DMN31D5UDJ","DMN31D5UDJ")</f>
        <v>DMN31D5UDJ</v>
      </c>
      <c r="D559" t="s">
        <v>39</v>
      </c>
      <c r="E559" t="s">
        <v>30</v>
      </c>
      <c r="F559" t="s">
        <v>28</v>
      </c>
      <c r="G559" t="s">
        <v>40</v>
      </c>
      <c r="H559" t="s">
        <v>27</v>
      </c>
      <c r="I559">
        <v>30</v>
      </c>
      <c r="J559">
        <v>12</v>
      </c>
      <c r="K559">
        <v>0.22</v>
      </c>
      <c r="M559">
        <v>0.35</v>
      </c>
      <c r="P559">
        <v>1500</v>
      </c>
      <c r="Q559">
        <v>2000</v>
      </c>
      <c r="R559">
        <v>3000</v>
      </c>
      <c r="T559">
        <v>1</v>
      </c>
      <c r="U559">
        <v>0.38</v>
      </c>
      <c r="W559">
        <v>22.6</v>
      </c>
      <c r="X559">
        <v>15</v>
      </c>
      <c r="Y559" t="s">
        <v>358</v>
      </c>
    </row>
    <row r="560" spans="1:25">
      <c r="A560" t="s">
        <v>1252</v>
      </c>
      <c r="B560" s="2" t="str">
        <f>Hyperlink("https://www.diodes.com/datasheet/download/DMN31D5UDR4.pdf")</f>
        <v>https://www.diodes.com/datasheet/download/DMN31D5UDR4.pdf</v>
      </c>
      <c r="C560" t="str">
        <f>Hyperlink("https://www.diodes.com/part/view/DMN31D5UDR4","DMN31D5UDR4")</f>
        <v>DMN31D5UDR4</v>
      </c>
      <c r="D560" t="s">
        <v>1067</v>
      </c>
      <c r="E560" t="s">
        <v>30</v>
      </c>
      <c r="F560" t="s">
        <v>28</v>
      </c>
      <c r="G560" t="s">
        <v>40</v>
      </c>
      <c r="H560" t="s">
        <v>27</v>
      </c>
      <c r="I560">
        <v>30</v>
      </c>
      <c r="J560">
        <v>12</v>
      </c>
      <c r="K560">
        <v>0.5</v>
      </c>
      <c r="M560">
        <v>0.37</v>
      </c>
      <c r="P560">
        <v>1500</v>
      </c>
      <c r="Q560">
        <v>2000</v>
      </c>
      <c r="R560">
        <v>3000</v>
      </c>
      <c r="S560">
        <v>0.5</v>
      </c>
      <c r="T560">
        <v>0.9</v>
      </c>
      <c r="U560">
        <v>0.05</v>
      </c>
      <c r="W560">
        <v>22.2</v>
      </c>
      <c r="X560">
        <v>15</v>
      </c>
      <c r="Y560" t="s">
        <v>372</v>
      </c>
    </row>
    <row r="561" spans="1:25">
      <c r="A561" t="s">
        <v>1253</v>
      </c>
      <c r="B561" s="2" t="str">
        <f>Hyperlink("https://www.diodes.com/datasheet/download/DMN31D5UDW.pdf")</f>
        <v>https://www.diodes.com/datasheet/download/DMN31D5UDW.pdf</v>
      </c>
      <c r="C561" t="str">
        <f>Hyperlink("https://www.diodes.com/part/view/DMN31D5UDW","DMN31D5UDW")</f>
        <v>DMN31D5UDW</v>
      </c>
      <c r="D561" t="s">
        <v>1067</v>
      </c>
      <c r="E561" t="s">
        <v>30</v>
      </c>
      <c r="F561" t="s">
        <v>28</v>
      </c>
      <c r="G561" t="s">
        <v>40</v>
      </c>
      <c r="H561" t="s">
        <v>27</v>
      </c>
      <c r="I561">
        <v>30</v>
      </c>
      <c r="J561">
        <v>12</v>
      </c>
      <c r="K561">
        <v>0.43</v>
      </c>
      <c r="M561">
        <v>0.43</v>
      </c>
      <c r="P561">
        <v>1500</v>
      </c>
      <c r="Q561">
        <v>2000</v>
      </c>
      <c r="R561">
        <v>3000</v>
      </c>
      <c r="S561">
        <v>0.5</v>
      </c>
      <c r="T561">
        <v>0.9</v>
      </c>
      <c r="U561">
        <v>0.3</v>
      </c>
      <c r="W561">
        <v>15.4</v>
      </c>
      <c r="X561">
        <v>15</v>
      </c>
      <c r="Y561" t="s">
        <v>42</v>
      </c>
    </row>
    <row r="562" spans="1:25">
      <c r="A562" t="s">
        <v>1254</v>
      </c>
      <c r="B562" s="2" t="str">
        <f>Hyperlink("https://www.diodes.com/datasheet/download/DMN31D5UFA.pdf")</f>
        <v>https://www.diodes.com/datasheet/download/DMN31D5UFA.pdf</v>
      </c>
      <c r="C562" t="str">
        <f>Hyperlink("https://www.diodes.com/part/view/DMN31D5UFA","DMN31D5UFA")</f>
        <v>DMN31D5UFA</v>
      </c>
      <c r="D562" t="s">
        <v>849</v>
      </c>
      <c r="E562" t="s">
        <v>30</v>
      </c>
      <c r="F562" t="s">
        <v>28</v>
      </c>
      <c r="G562" t="s">
        <v>29</v>
      </c>
      <c r="H562" t="s">
        <v>27</v>
      </c>
      <c r="I562">
        <v>30</v>
      </c>
      <c r="J562">
        <v>12</v>
      </c>
      <c r="K562">
        <v>0.4</v>
      </c>
      <c r="M562">
        <v>0.38</v>
      </c>
      <c r="P562">
        <v>1500</v>
      </c>
      <c r="Q562">
        <v>2000</v>
      </c>
      <c r="R562">
        <v>3000</v>
      </c>
      <c r="S562">
        <v>0.4</v>
      </c>
      <c r="T562">
        <v>1</v>
      </c>
      <c r="U562">
        <v>0.3</v>
      </c>
      <c r="W562">
        <v>15.4</v>
      </c>
      <c r="X562">
        <v>15</v>
      </c>
      <c r="Y562" t="s">
        <v>855</v>
      </c>
    </row>
    <row r="563" spans="1:25">
      <c r="A563" t="s">
        <v>1255</v>
      </c>
      <c r="B563" s="2" t="str">
        <f>Hyperlink("https://www.diodes.com/datasheet/download/DMN31D5UFO.pdf")</f>
        <v>https://www.diodes.com/datasheet/download/DMN31D5UFO.pdf</v>
      </c>
      <c r="C563" t="str">
        <f>Hyperlink("https://www.diodes.com/part/view/DMN31D5UFO","DMN31D5UFO")</f>
        <v>DMN31D5UFO</v>
      </c>
      <c r="D563" t="s">
        <v>666</v>
      </c>
      <c r="E563" t="s">
        <v>30</v>
      </c>
      <c r="F563" t="s">
        <v>28</v>
      </c>
      <c r="G563" t="s">
        <v>29</v>
      </c>
      <c r="H563" t="s">
        <v>27</v>
      </c>
      <c r="I563">
        <v>30</v>
      </c>
      <c r="J563">
        <v>12</v>
      </c>
      <c r="K563">
        <v>0.41</v>
      </c>
      <c r="M563">
        <v>0.38</v>
      </c>
      <c r="P563">
        <v>1500</v>
      </c>
      <c r="Q563">
        <v>2000</v>
      </c>
      <c r="R563">
        <v>3000</v>
      </c>
      <c r="T563">
        <v>1</v>
      </c>
      <c r="U563">
        <v>0.38</v>
      </c>
      <c r="W563">
        <v>22.6</v>
      </c>
      <c r="X563">
        <v>15</v>
      </c>
      <c r="Y563" t="s">
        <v>1076</v>
      </c>
    </row>
    <row r="564" spans="1:25">
      <c r="A564" t="s">
        <v>1256</v>
      </c>
      <c r="B564" s="2" t="str">
        <f>Hyperlink("https://www.diodes.com/datasheet/download/DMN31D5UFZ.pdf")</f>
        <v>https://www.diodes.com/datasheet/download/DMN31D5UFZ.pdf</v>
      </c>
      <c r="C564" t="str">
        <f>Hyperlink("https://www.diodes.com/part/view/DMN31D5UFZ","DMN31D5UFZ")</f>
        <v>DMN31D5UFZ</v>
      </c>
      <c r="D564" t="s">
        <v>26</v>
      </c>
      <c r="E564" t="s">
        <v>27</v>
      </c>
      <c r="F564" t="s">
        <v>28</v>
      </c>
      <c r="G564" t="s">
        <v>29</v>
      </c>
      <c r="H564" t="s">
        <v>27</v>
      </c>
      <c r="I564">
        <v>30</v>
      </c>
      <c r="J564">
        <v>12</v>
      </c>
      <c r="K564">
        <v>0.22</v>
      </c>
      <c r="M564">
        <v>0.39</v>
      </c>
      <c r="P564">
        <v>1500</v>
      </c>
      <c r="Q564">
        <v>2000</v>
      </c>
      <c r="R564">
        <v>3000</v>
      </c>
      <c r="T564">
        <v>1</v>
      </c>
      <c r="U564">
        <v>0.35</v>
      </c>
      <c r="W564">
        <v>22.2</v>
      </c>
      <c r="Y564" t="s">
        <v>1078</v>
      </c>
    </row>
    <row r="565" spans="1:25">
      <c r="A565" t="s">
        <v>1257</v>
      </c>
      <c r="B565" s="2" t="str">
        <f>Hyperlink("https://www.diodes.com/datasheet/download/DMN31D5UFZQ.pdf")</f>
        <v>https://www.diodes.com/datasheet/download/DMN31D5UFZQ.pdf</v>
      </c>
      <c r="C565" t="str">
        <f>Hyperlink("https://www.diodes.com/part/view/DMN31D5UFZQ","DMN31D5UFZQ")</f>
        <v>DMN31D5UFZQ</v>
      </c>
      <c r="D565" t="s">
        <v>26</v>
      </c>
      <c r="E565" t="s">
        <v>27</v>
      </c>
      <c r="F565" t="s">
        <v>37</v>
      </c>
      <c r="G565" t="s">
        <v>29</v>
      </c>
      <c r="H565" t="s">
        <v>27</v>
      </c>
      <c r="I565">
        <v>30</v>
      </c>
      <c r="J565">
        <v>12</v>
      </c>
      <c r="K565">
        <v>0.41</v>
      </c>
      <c r="M565">
        <v>0.4</v>
      </c>
      <c r="P565">
        <v>1500</v>
      </c>
      <c r="Q565">
        <v>2000</v>
      </c>
      <c r="R565">
        <v>3000</v>
      </c>
      <c r="T565">
        <v>1</v>
      </c>
      <c r="U565">
        <v>0.38</v>
      </c>
      <c r="W565">
        <v>22.6</v>
      </c>
      <c r="X565">
        <v>15</v>
      </c>
      <c r="Y565" t="s">
        <v>1078</v>
      </c>
    </row>
    <row r="566" spans="1:25">
      <c r="A566" t="s">
        <v>1258</v>
      </c>
      <c r="B566" s="2" t="str">
        <f>Hyperlink("https://www.diodes.com/datasheet/download/DMN31D6UT.pdf")</f>
        <v>https://www.diodes.com/datasheet/download/DMN31D6UT.pdf</v>
      </c>
      <c r="C566" t="str">
        <f>Hyperlink("https://www.diodes.com/part/view/DMN31D6UT","DMN31D6UT")</f>
        <v>DMN31D6UT</v>
      </c>
      <c r="D566" t="s">
        <v>54</v>
      </c>
      <c r="E566" t="s">
        <v>27</v>
      </c>
      <c r="F566" t="s">
        <v>28</v>
      </c>
      <c r="G566" t="s">
        <v>29</v>
      </c>
      <c r="H566" t="s">
        <v>27</v>
      </c>
      <c r="I566">
        <v>30</v>
      </c>
      <c r="J566">
        <v>12</v>
      </c>
      <c r="K566">
        <v>0.35</v>
      </c>
      <c r="M566">
        <v>0.32</v>
      </c>
      <c r="P566">
        <v>1500</v>
      </c>
      <c r="Q566">
        <v>2000</v>
      </c>
      <c r="T566">
        <v>1.4</v>
      </c>
      <c r="U566">
        <v>0.35</v>
      </c>
      <c r="W566">
        <v>13.6</v>
      </c>
      <c r="X566">
        <v>15</v>
      </c>
      <c r="Y566" t="s">
        <v>56</v>
      </c>
    </row>
    <row r="567" spans="1:25">
      <c r="A567" t="s">
        <v>1259</v>
      </c>
      <c r="B567" s="2" t="str">
        <f>Hyperlink("https://www.diodes.com/datasheet/download/DMN3200U.pdf")</f>
        <v>https://www.diodes.com/datasheet/download/DMN3200U.pdf</v>
      </c>
      <c r="C567" t="str">
        <f>Hyperlink("https://www.diodes.com/part/view/DMN3200U","DMN3200U")</f>
        <v>DMN3200U</v>
      </c>
      <c r="D567" t="s">
        <v>26</v>
      </c>
      <c r="E567" t="s">
        <v>27</v>
      </c>
      <c r="F567" t="s">
        <v>28</v>
      </c>
      <c r="G567" t="s">
        <v>29</v>
      </c>
      <c r="H567" t="s">
        <v>27</v>
      </c>
      <c r="I567">
        <v>30</v>
      </c>
      <c r="J567">
        <v>8</v>
      </c>
      <c r="K567">
        <v>2.2</v>
      </c>
      <c r="M567">
        <v>0.65</v>
      </c>
      <c r="P567">
        <v>90</v>
      </c>
      <c r="Q567">
        <v>110</v>
      </c>
      <c r="R567" t="s">
        <v>1260</v>
      </c>
      <c r="T567">
        <v>1</v>
      </c>
      <c r="W567">
        <v>290</v>
      </c>
      <c r="Y567" t="s">
        <v>35</v>
      </c>
    </row>
    <row r="568" spans="1:25">
      <c r="A568" t="s">
        <v>1261</v>
      </c>
      <c r="B568" s="2" t="str">
        <f>Hyperlink("https://www.diodes.com/datasheet/download/DMN3270UVT.pdf")</f>
        <v>https://www.diodes.com/datasheet/download/DMN3270UVT.pdf</v>
      </c>
      <c r="C568" t="str">
        <f>Hyperlink("https://www.diodes.com/part/view/DMN3270UVT","DMN3270UVT")</f>
        <v>DMN3270UVT</v>
      </c>
      <c r="D568" t="s">
        <v>666</v>
      </c>
      <c r="E568" t="s">
        <v>30</v>
      </c>
      <c r="F568" t="s">
        <v>28</v>
      </c>
      <c r="G568" t="s">
        <v>40</v>
      </c>
      <c r="H568" t="s">
        <v>30</v>
      </c>
      <c r="I568">
        <v>30</v>
      </c>
      <c r="J568" t="s">
        <v>1262</v>
      </c>
      <c r="K568">
        <v>1.6</v>
      </c>
      <c r="M568">
        <v>1.08</v>
      </c>
      <c r="P568">
        <v>270</v>
      </c>
      <c r="Q568">
        <v>350</v>
      </c>
      <c r="T568">
        <v>0.9</v>
      </c>
      <c r="U568">
        <v>3.07</v>
      </c>
      <c r="W568">
        <v>161</v>
      </c>
      <c r="X568">
        <v>15</v>
      </c>
      <c r="Y568" t="s">
        <v>183</v>
      </c>
    </row>
    <row r="569" spans="1:25">
      <c r="A569" t="s">
        <v>1263</v>
      </c>
      <c r="B569" s="2" t="str">
        <f>Hyperlink("https://www.diodes.com/datasheet/download/DMN32D0LFB4.pdf")</f>
        <v>https://www.diodes.com/datasheet/download/DMN32D0LFB4.pdf</v>
      </c>
      <c r="C569" t="str">
        <f>Hyperlink("https://www.diodes.com/part/view/DMN32D0LFB4","DMN32D0LFB4")</f>
        <v>DMN32D0LFB4</v>
      </c>
      <c r="D569" t="s">
        <v>26</v>
      </c>
      <c r="E569" t="s">
        <v>30</v>
      </c>
      <c r="F569" t="s">
        <v>28</v>
      </c>
      <c r="G569" t="s">
        <v>29</v>
      </c>
      <c r="H569" t="s">
        <v>27</v>
      </c>
      <c r="I569">
        <v>30</v>
      </c>
      <c r="J569">
        <v>10</v>
      </c>
      <c r="K569">
        <v>0.44</v>
      </c>
      <c r="M569">
        <v>0.35</v>
      </c>
      <c r="P569">
        <v>1200</v>
      </c>
      <c r="Q569">
        <v>1500</v>
      </c>
      <c r="R569">
        <v>2200</v>
      </c>
      <c r="T569">
        <v>1.2</v>
      </c>
      <c r="U569">
        <v>0.6</v>
      </c>
      <c r="W569">
        <v>44.8</v>
      </c>
      <c r="X569">
        <v>15</v>
      </c>
      <c r="Y569" t="s">
        <v>901</v>
      </c>
    </row>
    <row r="570" spans="1:25">
      <c r="A570" t="s">
        <v>1264</v>
      </c>
      <c r="B570" s="2" t="str">
        <f>Hyperlink("https://www.diodes.com/datasheet/download/DMN32D0LV.pdf")</f>
        <v>https://www.diodes.com/datasheet/download/DMN32D0LV.pdf</v>
      </c>
      <c r="C570" t="str">
        <f>Hyperlink("https://www.diodes.com/part/view/DMN32D0LV","DMN32D0LV")</f>
        <v>DMN32D0LV</v>
      </c>
      <c r="D570" t="s">
        <v>1265</v>
      </c>
      <c r="E570" t="s">
        <v>30</v>
      </c>
      <c r="F570" t="s">
        <v>28</v>
      </c>
      <c r="G570" t="s">
        <v>40</v>
      </c>
      <c r="H570" t="s">
        <v>27</v>
      </c>
      <c r="I570">
        <v>30</v>
      </c>
      <c r="J570">
        <v>10</v>
      </c>
      <c r="K570">
        <v>0.68</v>
      </c>
      <c r="M570">
        <v>0.48</v>
      </c>
      <c r="P570">
        <v>1200</v>
      </c>
      <c r="Q570">
        <v>1500</v>
      </c>
      <c r="R570">
        <v>2200</v>
      </c>
      <c r="S570">
        <v>0.6</v>
      </c>
      <c r="T570">
        <v>1.2</v>
      </c>
      <c r="U570">
        <v>0.62</v>
      </c>
      <c r="W570">
        <v>44.8</v>
      </c>
      <c r="X570">
        <v>15</v>
      </c>
      <c r="Y570" t="s">
        <v>60</v>
      </c>
    </row>
    <row r="571" spans="1:25">
      <c r="A571" t="s">
        <v>1266</v>
      </c>
      <c r="B571" s="2" t="str">
        <f>Hyperlink("https://www.diodes.com/datasheet/download/DMN32D0LVQ.pdf")</f>
        <v>https://www.diodes.com/datasheet/download/DMN32D0LVQ.pdf</v>
      </c>
      <c r="C571" t="str">
        <f>Hyperlink("https://www.diodes.com/part/view/DMN32D0LVQ","DMN32D0LVQ")</f>
        <v>DMN32D0LVQ</v>
      </c>
      <c r="D571" t="s">
        <v>1265</v>
      </c>
      <c r="E571" t="s">
        <v>27</v>
      </c>
      <c r="F571" t="s">
        <v>37</v>
      </c>
      <c r="G571" t="s">
        <v>40</v>
      </c>
      <c r="H571" t="s">
        <v>27</v>
      </c>
      <c r="I571">
        <v>30</v>
      </c>
      <c r="J571">
        <v>10</v>
      </c>
      <c r="K571">
        <v>0.68</v>
      </c>
      <c r="M571">
        <v>0.48</v>
      </c>
      <c r="P571">
        <v>1200</v>
      </c>
      <c r="Q571">
        <v>1500</v>
      </c>
      <c r="R571">
        <v>2200</v>
      </c>
      <c r="S571">
        <v>0.6</v>
      </c>
      <c r="T571">
        <v>1.2</v>
      </c>
      <c r="U571">
        <v>0.62</v>
      </c>
      <c r="W571">
        <v>44.8</v>
      </c>
      <c r="X571">
        <v>15</v>
      </c>
      <c r="Y571" t="s">
        <v>60</v>
      </c>
    </row>
    <row r="572" spans="1:25">
      <c r="A572" t="s">
        <v>1267</v>
      </c>
      <c r="B572" s="2" t="str">
        <f>Hyperlink("https://www.diodes.com/datasheet/download/DMN32D2LDF.pdf")</f>
        <v>https://www.diodes.com/datasheet/download/DMN32D2LDF.pdf</v>
      </c>
      <c r="C572" t="str">
        <f>Hyperlink("https://www.diodes.com/part/view/DMN32D2LDF","DMN32D2LDF")</f>
        <v>DMN32D2LDF</v>
      </c>
      <c r="D572" t="s">
        <v>1268</v>
      </c>
      <c r="E572" t="s">
        <v>27</v>
      </c>
      <c r="F572" t="s">
        <v>28</v>
      </c>
      <c r="G572" t="s">
        <v>40</v>
      </c>
      <c r="H572" t="s">
        <v>27</v>
      </c>
      <c r="I572">
        <v>30</v>
      </c>
      <c r="J572">
        <v>10</v>
      </c>
      <c r="K572">
        <v>0.4</v>
      </c>
      <c r="M572">
        <v>0.28</v>
      </c>
      <c r="P572">
        <v>1200</v>
      </c>
      <c r="Q572">
        <v>1500</v>
      </c>
      <c r="R572">
        <v>2200</v>
      </c>
      <c r="T572">
        <v>1.2</v>
      </c>
      <c r="W572">
        <v>39</v>
      </c>
      <c r="Y572" t="s">
        <v>1269</v>
      </c>
    </row>
    <row r="573" spans="1:25">
      <c r="A573" t="s">
        <v>1270</v>
      </c>
      <c r="B573" s="2" t="str">
        <f>Hyperlink("https://www.diodes.com/datasheet/download/DMN32D2LFB4.pdf")</f>
        <v>https://www.diodes.com/datasheet/download/DMN32D2LFB4.pdf</v>
      </c>
      <c r="C573" t="str">
        <f>Hyperlink("https://www.diodes.com/part/view/DMN32D2LFB4","DMN32D2LFB4")</f>
        <v>DMN32D2LFB4</v>
      </c>
      <c r="D573" t="s">
        <v>26</v>
      </c>
      <c r="E573" t="s">
        <v>27</v>
      </c>
      <c r="F573" t="s">
        <v>28</v>
      </c>
      <c r="G573" t="s">
        <v>29</v>
      </c>
      <c r="H573" t="s">
        <v>27</v>
      </c>
      <c r="I573">
        <v>30</v>
      </c>
      <c r="J573">
        <v>10</v>
      </c>
      <c r="K573">
        <v>0.42</v>
      </c>
      <c r="M573">
        <v>0.35</v>
      </c>
      <c r="P573">
        <v>1200</v>
      </c>
      <c r="Q573">
        <v>1500</v>
      </c>
      <c r="R573">
        <v>2200</v>
      </c>
      <c r="T573">
        <v>1.2</v>
      </c>
      <c r="W573">
        <v>39</v>
      </c>
      <c r="Y573" t="s">
        <v>901</v>
      </c>
    </row>
    <row r="574" spans="1:25">
      <c r="A574" t="s">
        <v>1271</v>
      </c>
      <c r="B574" s="2" t="str">
        <f>Hyperlink("https://www.diodes.com/datasheet/download/DMN32D4SDW.pdf")</f>
        <v>https://www.diodes.com/datasheet/download/DMN32D4SDW.pdf</v>
      </c>
      <c r="C574" t="str">
        <f>Hyperlink("https://www.diodes.com/part/view/DMN32D4SDW","DMN32D4SDW")</f>
        <v>DMN32D4SDW</v>
      </c>
      <c r="D574" t="s">
        <v>39</v>
      </c>
      <c r="E574" t="s">
        <v>30</v>
      </c>
      <c r="F574" t="s">
        <v>28</v>
      </c>
      <c r="G574" t="s">
        <v>40</v>
      </c>
      <c r="H574" t="s">
        <v>27</v>
      </c>
      <c r="I574">
        <v>30</v>
      </c>
      <c r="J574">
        <v>20</v>
      </c>
      <c r="K574">
        <v>0.65</v>
      </c>
      <c r="M574">
        <v>0.35</v>
      </c>
      <c r="O574">
        <v>400</v>
      </c>
      <c r="P574">
        <v>700</v>
      </c>
      <c r="T574">
        <v>1.6</v>
      </c>
      <c r="U574">
        <v>0.6</v>
      </c>
      <c r="V574">
        <v>1.3</v>
      </c>
      <c r="W574">
        <v>50</v>
      </c>
      <c r="X574">
        <v>15</v>
      </c>
      <c r="Y574" t="s">
        <v>42</v>
      </c>
    </row>
    <row r="575" spans="1:25">
      <c r="A575" t="s">
        <v>1272</v>
      </c>
      <c r="B575" s="2" t="str">
        <f>Hyperlink("https://www.diodes.com/datasheet/download/DMN32M6LCA8.pdf")</f>
        <v>https://www.diodes.com/datasheet/download/DMN32M6LCA8.pdf</v>
      </c>
      <c r="C575" t="str">
        <f>Hyperlink("https://www.diodes.com/part/view/DMN32M6LCA8","DMN32M6LCA8")</f>
        <v>DMN32M6LCA8</v>
      </c>
      <c r="D575" t="s">
        <v>849</v>
      </c>
      <c r="E575" t="s">
        <v>30</v>
      </c>
      <c r="F575" t="s">
        <v>28</v>
      </c>
      <c r="G575" t="s">
        <v>29</v>
      </c>
      <c r="H575" t="s">
        <v>27</v>
      </c>
      <c r="I575">
        <v>30</v>
      </c>
      <c r="J575">
        <v>20</v>
      </c>
      <c r="K575">
        <v>30</v>
      </c>
      <c r="M575">
        <v>3.2</v>
      </c>
      <c r="O575">
        <v>2.6</v>
      </c>
      <c r="P575">
        <v>5.1</v>
      </c>
      <c r="S575">
        <v>1.3</v>
      </c>
      <c r="T575">
        <v>2.2</v>
      </c>
      <c r="U575">
        <v>42.7</v>
      </c>
      <c r="W575">
        <v>2780</v>
      </c>
      <c r="X575">
        <v>15</v>
      </c>
      <c r="Y575" t="s">
        <v>1273</v>
      </c>
    </row>
    <row r="576" spans="1:25">
      <c r="A576" t="s">
        <v>1274</v>
      </c>
      <c r="B576" s="2" t="str">
        <f>Hyperlink("https://www.diodes.com/datasheet/download/DMN3300U.pdf")</f>
        <v>https://www.diodes.com/datasheet/download/DMN3300U.pdf</v>
      </c>
      <c r="C576" t="str">
        <f>Hyperlink("https://www.diodes.com/part/view/DMN3300U","DMN3300U")</f>
        <v>DMN3300U</v>
      </c>
      <c r="D576" t="s">
        <v>26</v>
      </c>
      <c r="E576" t="s">
        <v>27</v>
      </c>
      <c r="F576" t="s">
        <v>28</v>
      </c>
      <c r="G576" t="s">
        <v>29</v>
      </c>
      <c r="H576" t="s">
        <v>30</v>
      </c>
      <c r="I576">
        <v>30</v>
      </c>
      <c r="J576">
        <v>12</v>
      </c>
      <c r="K576">
        <v>2</v>
      </c>
      <c r="M576">
        <v>1.3</v>
      </c>
      <c r="P576">
        <v>150</v>
      </c>
      <c r="Q576">
        <v>200</v>
      </c>
      <c r="R576">
        <v>250</v>
      </c>
      <c r="T576">
        <v>1</v>
      </c>
      <c r="W576">
        <v>193</v>
      </c>
      <c r="Y576" t="s">
        <v>35</v>
      </c>
    </row>
    <row r="577" spans="1:25">
      <c r="A577" t="s">
        <v>1275</v>
      </c>
      <c r="B577" s="2" t="str">
        <f>Hyperlink("https://www.diodes.com/datasheet/download/DMN3300UQ.pdf")</f>
        <v>https://www.diodes.com/datasheet/download/DMN3300UQ.pdf</v>
      </c>
      <c r="C577" t="str">
        <f>Hyperlink("https://www.diodes.com/part/view/DMN3300UQ","DMN3300UQ")</f>
        <v>DMN3300UQ</v>
      </c>
      <c r="D577" t="s">
        <v>26</v>
      </c>
      <c r="E577" t="s">
        <v>27</v>
      </c>
      <c r="F577" t="s">
        <v>37</v>
      </c>
      <c r="G577" t="s">
        <v>29</v>
      </c>
      <c r="H577" t="s">
        <v>30</v>
      </c>
      <c r="I577">
        <v>30</v>
      </c>
      <c r="J577">
        <v>12</v>
      </c>
      <c r="K577">
        <v>2</v>
      </c>
      <c r="M577">
        <v>1.3</v>
      </c>
      <c r="P577">
        <v>150</v>
      </c>
      <c r="Q577">
        <v>200</v>
      </c>
      <c r="R577">
        <v>250</v>
      </c>
      <c r="T577">
        <v>1</v>
      </c>
      <c r="W577">
        <v>193</v>
      </c>
      <c r="X577">
        <v>10</v>
      </c>
      <c r="Y577" t="s">
        <v>35</v>
      </c>
    </row>
    <row r="578" spans="1:25">
      <c r="A578" t="s">
        <v>1276</v>
      </c>
      <c r="B578" s="2" t="str">
        <f>Hyperlink("https://www.diodes.com/datasheet/download/DMN3350LDW.pdf")</f>
        <v>https://www.diodes.com/datasheet/download/DMN3350LDW.pdf</v>
      </c>
      <c r="C578" t="str">
        <f>Hyperlink("https://www.diodes.com/part/view/DMN3350LDW","DMN3350LDW")</f>
        <v>DMN3350LDW</v>
      </c>
      <c r="D578" t="s">
        <v>1067</v>
      </c>
      <c r="E578" t="s">
        <v>30</v>
      </c>
      <c r="F578" t="s">
        <v>28</v>
      </c>
      <c r="G578" t="s">
        <v>40</v>
      </c>
      <c r="H578" t="s">
        <v>27</v>
      </c>
      <c r="I578">
        <v>30</v>
      </c>
      <c r="J578">
        <v>20</v>
      </c>
      <c r="K578">
        <v>0.89</v>
      </c>
      <c r="M578">
        <v>0.48</v>
      </c>
      <c r="O578">
        <v>400</v>
      </c>
      <c r="P578">
        <v>700</v>
      </c>
      <c r="S578">
        <v>0.8</v>
      </c>
      <c r="T578">
        <v>1.6</v>
      </c>
      <c r="U578">
        <v>1.1</v>
      </c>
      <c r="W578">
        <v>38.4</v>
      </c>
      <c r="X578">
        <v>15</v>
      </c>
      <c r="Y578" t="s">
        <v>42</v>
      </c>
    </row>
    <row r="579" spans="1:25">
      <c r="A579" t="s">
        <v>1277</v>
      </c>
      <c r="B579" s="2" t="str">
        <f>Hyperlink("https://www.diodes.com/datasheet/download/DMN3350LDWQ.pdf")</f>
        <v>https://www.diodes.com/datasheet/download/DMN3350LDWQ.pdf</v>
      </c>
      <c r="C579" t="str">
        <f>Hyperlink("https://www.diodes.com/part/view/DMN3350LDWQ","DMN3350LDWQ")</f>
        <v>DMN3350LDWQ</v>
      </c>
      <c r="D579" t="s">
        <v>1067</v>
      </c>
      <c r="E579" t="s">
        <v>27</v>
      </c>
      <c r="F579" t="s">
        <v>37</v>
      </c>
      <c r="G579" t="s">
        <v>40</v>
      </c>
      <c r="H579" t="s">
        <v>27</v>
      </c>
      <c r="I579">
        <v>30</v>
      </c>
      <c r="J579">
        <v>20</v>
      </c>
      <c r="K579">
        <v>0.89</v>
      </c>
      <c r="M579">
        <v>0.48</v>
      </c>
      <c r="O579">
        <v>400</v>
      </c>
      <c r="P579">
        <v>700</v>
      </c>
      <c r="S579">
        <v>0.8</v>
      </c>
      <c r="T579">
        <v>1.6</v>
      </c>
      <c r="U579">
        <v>1.1</v>
      </c>
      <c r="W579">
        <v>38.4</v>
      </c>
      <c r="X579">
        <v>15</v>
      </c>
      <c r="Y579" t="s">
        <v>42</v>
      </c>
    </row>
    <row r="580" spans="1:25">
      <c r="A580" t="s">
        <v>1278</v>
      </c>
      <c r="B580" s="2" t="str">
        <f>Hyperlink("https://www.diodes.com/datasheet/download/DMN3350LFB.pdf")</f>
        <v>https://www.diodes.com/datasheet/download/DMN3350LFB.pdf</v>
      </c>
      <c r="C580" t="str">
        <f>Hyperlink("https://www.diodes.com/part/view/DMN3350LFB","DMN3350LFB")</f>
        <v>DMN3350LFB</v>
      </c>
      <c r="D580" t="s">
        <v>849</v>
      </c>
      <c r="E580" t="s">
        <v>30</v>
      </c>
      <c r="F580" t="s">
        <v>28</v>
      </c>
      <c r="G580" t="s">
        <v>29</v>
      </c>
      <c r="H580" t="s">
        <v>27</v>
      </c>
      <c r="I580">
        <v>30</v>
      </c>
      <c r="J580">
        <v>20</v>
      </c>
      <c r="K580">
        <v>1.6</v>
      </c>
      <c r="M580">
        <v>1.3</v>
      </c>
      <c r="O580">
        <v>350</v>
      </c>
      <c r="P580">
        <v>559</v>
      </c>
      <c r="S580">
        <v>0.8</v>
      </c>
      <c r="T580">
        <v>1.6</v>
      </c>
      <c r="U580">
        <v>1.1</v>
      </c>
      <c r="W580">
        <v>38.4</v>
      </c>
      <c r="X580">
        <v>15</v>
      </c>
      <c r="Y580" t="s">
        <v>846</v>
      </c>
    </row>
    <row r="581" spans="1:25">
      <c r="A581" t="s">
        <v>1279</v>
      </c>
      <c r="B581" s="2" t="str">
        <f>Hyperlink("https://www.diodes.com/datasheet/download/DMN33D8L.pdf")</f>
        <v>https://www.diodes.com/datasheet/download/DMN33D8L.pdf</v>
      </c>
      <c r="C581" t="str">
        <f>Hyperlink("https://www.diodes.com/part/view/DMN33D8L","DMN33D8L")</f>
        <v>DMN33D8L</v>
      </c>
      <c r="D581" t="s">
        <v>26</v>
      </c>
      <c r="E581" t="s">
        <v>27</v>
      </c>
      <c r="F581" t="s">
        <v>28</v>
      </c>
      <c r="G581" t="s">
        <v>29</v>
      </c>
      <c r="H581" t="s">
        <v>27</v>
      </c>
      <c r="I581">
        <v>30</v>
      </c>
      <c r="J581">
        <v>20</v>
      </c>
      <c r="K581">
        <v>0.25</v>
      </c>
      <c r="M581">
        <v>0.52</v>
      </c>
      <c r="O581">
        <v>3000</v>
      </c>
      <c r="P581" t="s">
        <v>1280</v>
      </c>
      <c r="T581">
        <v>2.5</v>
      </c>
      <c r="V581">
        <v>1.2</v>
      </c>
      <c r="W581">
        <v>50</v>
      </c>
      <c r="Y581" t="s">
        <v>35</v>
      </c>
    </row>
    <row r="582" spans="1:25">
      <c r="A582" t="s">
        <v>1281</v>
      </c>
      <c r="B582" s="2" t="str">
        <f>Hyperlink("https://www.diodes.com/datasheet/download/DMN33D8LDW.pdf")</f>
        <v>https://www.diodes.com/datasheet/download/DMN33D8LDW.pdf</v>
      </c>
      <c r="C582" t="str">
        <f>Hyperlink("https://www.diodes.com/part/view/DMN33D8LDW","DMN33D8LDW")</f>
        <v>DMN33D8LDW</v>
      </c>
      <c r="D582" t="s">
        <v>39</v>
      </c>
      <c r="E582" t="s">
        <v>27</v>
      </c>
      <c r="F582" t="s">
        <v>28</v>
      </c>
      <c r="G582" t="s">
        <v>40</v>
      </c>
      <c r="H582" t="s">
        <v>27</v>
      </c>
      <c r="I582">
        <v>30</v>
      </c>
      <c r="J582">
        <v>20</v>
      </c>
      <c r="K582">
        <v>0.25</v>
      </c>
      <c r="M582">
        <v>0.35</v>
      </c>
      <c r="O582">
        <v>2400</v>
      </c>
      <c r="P582">
        <v>3000</v>
      </c>
      <c r="Q582">
        <v>7000</v>
      </c>
      <c r="T582">
        <v>1.5</v>
      </c>
      <c r="U582">
        <v>0.55</v>
      </c>
      <c r="V582">
        <v>1.23</v>
      </c>
      <c r="W582">
        <v>48</v>
      </c>
      <c r="Y582" t="s">
        <v>42</v>
      </c>
    </row>
    <row r="583" spans="1:25">
      <c r="A583" t="s">
        <v>1282</v>
      </c>
      <c r="B583" s="2" t="str">
        <f>Hyperlink("https://www.diodes.com/datasheet/download/DMN33D8LDWQ.pdf")</f>
        <v>https://www.diodes.com/datasheet/download/DMN33D8LDWQ.pdf</v>
      </c>
      <c r="C583" t="str">
        <f>Hyperlink("https://www.diodes.com/part/view/DMN33D8LDWQ","DMN33D8LDWQ")</f>
        <v>DMN33D8LDWQ</v>
      </c>
      <c r="D583" t="s">
        <v>39</v>
      </c>
      <c r="E583" t="s">
        <v>27</v>
      </c>
      <c r="F583" t="s">
        <v>37</v>
      </c>
      <c r="G583" t="s">
        <v>40</v>
      </c>
      <c r="H583" t="s">
        <v>27</v>
      </c>
      <c r="I583">
        <v>30</v>
      </c>
      <c r="J583">
        <v>20</v>
      </c>
      <c r="K583">
        <v>0.25</v>
      </c>
      <c r="M583">
        <v>0.35</v>
      </c>
      <c r="O583">
        <v>2400</v>
      </c>
      <c r="P583">
        <v>3000</v>
      </c>
      <c r="Q583">
        <v>7000</v>
      </c>
      <c r="T583">
        <v>1.5</v>
      </c>
      <c r="U583">
        <v>0.55</v>
      </c>
      <c r="V583">
        <v>1.23</v>
      </c>
      <c r="W583">
        <v>48</v>
      </c>
      <c r="X583">
        <v>5</v>
      </c>
      <c r="Y583" t="s">
        <v>42</v>
      </c>
    </row>
    <row r="584" spans="1:25">
      <c r="A584" t="s">
        <v>1283</v>
      </c>
      <c r="B584" s="2" t="str">
        <f>Hyperlink("https://www.diodes.com/datasheet/download/DMN33D8LT.pdf")</f>
        <v>https://www.diodes.com/datasheet/download/DMN33D8LT.pdf</v>
      </c>
      <c r="C584" t="str">
        <f>Hyperlink("https://www.diodes.com/part/view/DMN33D8LT","DMN33D8LT")</f>
        <v>DMN33D8LT</v>
      </c>
      <c r="D584" t="s">
        <v>26</v>
      </c>
      <c r="E584" t="s">
        <v>27</v>
      </c>
      <c r="F584" t="s">
        <v>28</v>
      </c>
      <c r="G584" t="s">
        <v>29</v>
      </c>
      <c r="H584" t="s">
        <v>27</v>
      </c>
      <c r="I584">
        <v>30</v>
      </c>
      <c r="J584">
        <v>20</v>
      </c>
      <c r="K584">
        <v>0.2</v>
      </c>
      <c r="M584">
        <v>0.3</v>
      </c>
      <c r="P584" t="s">
        <v>1284</v>
      </c>
      <c r="Q584">
        <v>7000</v>
      </c>
      <c r="T584">
        <v>1.5</v>
      </c>
      <c r="U584">
        <v>0.55</v>
      </c>
      <c r="V584">
        <v>1.23</v>
      </c>
      <c r="W584">
        <v>48</v>
      </c>
      <c r="Y584" t="s">
        <v>56</v>
      </c>
    </row>
    <row r="585" spans="1:25">
      <c r="A585" t="s">
        <v>1285</v>
      </c>
      <c r="B585" s="2" t="str">
        <f>Hyperlink("https://www.diodes.com/datasheet/download/DMN33D8LTQ.pdf")</f>
        <v>https://www.diodes.com/datasheet/download/DMN33D8LTQ.pdf</v>
      </c>
      <c r="C585" t="str">
        <f>Hyperlink("https://www.diodes.com/part/view/DMN33D8LTQ","DMN33D8LTQ")</f>
        <v>DMN33D8LTQ</v>
      </c>
      <c r="D585" t="s">
        <v>26</v>
      </c>
      <c r="E585" t="s">
        <v>27</v>
      </c>
      <c r="F585" t="s">
        <v>37</v>
      </c>
      <c r="G585" t="s">
        <v>29</v>
      </c>
      <c r="H585" t="s">
        <v>27</v>
      </c>
      <c r="I585">
        <v>30</v>
      </c>
      <c r="J585">
        <v>20</v>
      </c>
      <c r="K585">
        <v>0.2</v>
      </c>
      <c r="M585">
        <v>0.3</v>
      </c>
      <c r="P585" t="s">
        <v>1284</v>
      </c>
      <c r="Q585">
        <v>7000</v>
      </c>
      <c r="T585">
        <v>1.5</v>
      </c>
      <c r="U585">
        <v>0.55</v>
      </c>
      <c r="V585">
        <v>1.3</v>
      </c>
      <c r="W585">
        <v>48</v>
      </c>
      <c r="X585">
        <v>5</v>
      </c>
      <c r="Y585" t="s">
        <v>56</v>
      </c>
    </row>
    <row r="586" spans="1:25">
      <c r="A586" t="s">
        <v>1286</v>
      </c>
      <c r="B586" s="2" t="str">
        <f>Hyperlink("https://www.diodes.com/datasheet/download/DMN33D8LV.pdf")</f>
        <v>https://www.diodes.com/datasheet/download/DMN33D8LV.pdf</v>
      </c>
      <c r="C586" t="str">
        <f>Hyperlink("https://www.diodes.com/part/view/DMN33D8LV","DMN33D8LV")</f>
        <v>DMN33D8LV</v>
      </c>
      <c r="D586" t="s">
        <v>39</v>
      </c>
      <c r="E586" t="s">
        <v>27</v>
      </c>
      <c r="F586" t="s">
        <v>28</v>
      </c>
      <c r="G586" t="s">
        <v>40</v>
      </c>
      <c r="H586" t="s">
        <v>27</v>
      </c>
      <c r="I586">
        <v>30</v>
      </c>
      <c r="J586">
        <v>20</v>
      </c>
      <c r="K586">
        <v>0.35</v>
      </c>
      <c r="M586">
        <v>0.43</v>
      </c>
      <c r="O586">
        <v>2400</v>
      </c>
      <c r="P586">
        <v>3000</v>
      </c>
      <c r="Q586">
        <v>7000</v>
      </c>
      <c r="T586">
        <v>1.5</v>
      </c>
      <c r="U586">
        <v>0.55</v>
      </c>
      <c r="V586">
        <v>1.23</v>
      </c>
      <c r="W586">
        <v>48</v>
      </c>
      <c r="X586">
        <v>48</v>
      </c>
      <c r="Y586" t="s">
        <v>60</v>
      </c>
    </row>
    <row r="587" spans="1:25">
      <c r="A587" t="s">
        <v>1287</v>
      </c>
      <c r="B587" s="2" t="str">
        <f>Hyperlink("https://www.diodes.com/datasheet/download/DMN33D8LVQ.pdf")</f>
        <v>https://www.diodes.com/datasheet/download/DMN33D8LVQ.pdf</v>
      </c>
      <c r="C587" t="str">
        <f>Hyperlink("https://www.diodes.com/part/view/DMN33D8LVQ","DMN33D8LVQ")</f>
        <v>DMN33D8LVQ</v>
      </c>
      <c r="D587" t="s">
        <v>1067</v>
      </c>
      <c r="E587" t="s">
        <v>27</v>
      </c>
      <c r="F587" t="s">
        <v>37</v>
      </c>
      <c r="G587" t="s">
        <v>40</v>
      </c>
      <c r="H587" t="s">
        <v>27</v>
      </c>
      <c r="I587">
        <v>30</v>
      </c>
      <c r="J587">
        <v>20</v>
      </c>
      <c r="K587">
        <v>0.35</v>
      </c>
      <c r="M587">
        <v>0.43</v>
      </c>
      <c r="O587">
        <v>2400</v>
      </c>
      <c r="P587">
        <v>3000</v>
      </c>
      <c r="Q587">
        <v>7000</v>
      </c>
      <c r="S587">
        <v>0.8</v>
      </c>
      <c r="T587">
        <v>1.5</v>
      </c>
      <c r="U587">
        <v>0.5</v>
      </c>
      <c r="W587">
        <v>48</v>
      </c>
      <c r="X587">
        <v>5</v>
      </c>
      <c r="Y587" t="s">
        <v>60</v>
      </c>
    </row>
    <row r="588" spans="1:25">
      <c r="A588" t="s">
        <v>1288</v>
      </c>
      <c r="B588" s="2" t="str">
        <f>Hyperlink("https://www.diodes.com/datasheet/download/DMN33D9LV.pdf")</f>
        <v>https://www.diodes.com/datasheet/download/DMN33D9LV.pdf</v>
      </c>
      <c r="C588" t="str">
        <f>Hyperlink("https://www.diodes.com/part/view/DMN33D9LV","DMN33D9LV")</f>
        <v>DMN33D9LV</v>
      </c>
      <c r="D588" t="s">
        <v>39</v>
      </c>
      <c r="E588" t="s">
        <v>30</v>
      </c>
      <c r="F588" t="s">
        <v>28</v>
      </c>
      <c r="G588" t="s">
        <v>40</v>
      </c>
      <c r="H588" t="s">
        <v>27</v>
      </c>
      <c r="I588">
        <v>30</v>
      </c>
      <c r="J588">
        <v>20</v>
      </c>
      <c r="K588">
        <v>0.35</v>
      </c>
      <c r="M588">
        <v>0.43</v>
      </c>
      <c r="O588">
        <v>2400</v>
      </c>
      <c r="P588">
        <v>3000</v>
      </c>
      <c r="Q588">
        <v>7000</v>
      </c>
      <c r="T588">
        <v>1.4</v>
      </c>
      <c r="U588">
        <v>0.55</v>
      </c>
      <c r="V588">
        <v>1.23</v>
      </c>
      <c r="W588">
        <v>48</v>
      </c>
      <c r="X588">
        <v>5</v>
      </c>
      <c r="Y588" t="s">
        <v>60</v>
      </c>
    </row>
    <row r="589" spans="1:25">
      <c r="A589" t="s">
        <v>1289</v>
      </c>
      <c r="B589" s="2" t="str">
        <f>Hyperlink("https://www.diodes.com/datasheet/download/DMN3401LDW.pdf")</f>
        <v>https://www.diodes.com/datasheet/download/DMN3401LDW.pdf</v>
      </c>
      <c r="C589" t="str">
        <f>Hyperlink("https://www.diodes.com/part/view/DMN3401LDW","DMN3401LDW")</f>
        <v>DMN3401LDW</v>
      </c>
      <c r="D589" t="s">
        <v>1141</v>
      </c>
      <c r="E589" t="s">
        <v>30</v>
      </c>
      <c r="F589" t="s">
        <v>28</v>
      </c>
      <c r="G589" t="s">
        <v>40</v>
      </c>
      <c r="H589" t="s">
        <v>27</v>
      </c>
      <c r="I589">
        <v>30</v>
      </c>
      <c r="J589">
        <v>20</v>
      </c>
      <c r="K589">
        <v>0.8</v>
      </c>
      <c r="M589">
        <v>0.35</v>
      </c>
      <c r="O589">
        <v>400</v>
      </c>
      <c r="P589">
        <v>700</v>
      </c>
      <c r="T589">
        <v>1.6</v>
      </c>
      <c r="U589">
        <v>0.5</v>
      </c>
      <c r="V589">
        <v>1.2</v>
      </c>
      <c r="W589">
        <v>50</v>
      </c>
      <c r="X589">
        <v>15</v>
      </c>
      <c r="Y589" t="s">
        <v>42</v>
      </c>
    </row>
    <row r="590" spans="1:25">
      <c r="A590" t="s">
        <v>1290</v>
      </c>
      <c r="B590" s="2" t="str">
        <f>Hyperlink("https://www.diodes.com/datasheet/download/DMN3401LDWQ.pdf")</f>
        <v>https://www.diodes.com/datasheet/download/DMN3401LDWQ.pdf</v>
      </c>
      <c r="C590" t="str">
        <f>Hyperlink("https://www.diodes.com/part/view/DMN3401LDWQ","DMN3401LDWQ")</f>
        <v>DMN3401LDWQ</v>
      </c>
      <c r="D590" t="s">
        <v>39</v>
      </c>
      <c r="E590" t="s">
        <v>27</v>
      </c>
      <c r="F590" t="s">
        <v>37</v>
      </c>
      <c r="G590" t="s">
        <v>40</v>
      </c>
      <c r="H590" t="s">
        <v>27</v>
      </c>
      <c r="I590">
        <v>30</v>
      </c>
      <c r="J590">
        <v>20</v>
      </c>
      <c r="K590">
        <v>0.8</v>
      </c>
      <c r="M590">
        <v>0.35</v>
      </c>
      <c r="O590">
        <v>400</v>
      </c>
      <c r="P590">
        <v>700</v>
      </c>
      <c r="T590">
        <v>1.6</v>
      </c>
      <c r="U590">
        <v>0.5</v>
      </c>
      <c r="V590">
        <v>1.2</v>
      </c>
      <c r="W590">
        <v>50</v>
      </c>
      <c r="X590">
        <v>15</v>
      </c>
      <c r="Y590" t="s">
        <v>42</v>
      </c>
    </row>
    <row r="591" spans="1:25">
      <c r="A591" t="s">
        <v>1291</v>
      </c>
      <c r="B591" s="2" t="str">
        <f>Hyperlink("https://www.diodes.com/datasheet/download/DMN3401LV.pdf")</f>
        <v>https://www.diodes.com/datasheet/download/DMN3401LV.pdf</v>
      </c>
      <c r="C591" t="str">
        <f>Hyperlink("https://www.diodes.com/part/view/DMN3401LV","DMN3401LV")</f>
        <v>DMN3401LV</v>
      </c>
      <c r="D591" t="s">
        <v>39</v>
      </c>
      <c r="E591" t="s">
        <v>30</v>
      </c>
      <c r="F591" t="s">
        <v>28</v>
      </c>
      <c r="G591" t="s">
        <v>40</v>
      </c>
      <c r="H591" t="s">
        <v>27</v>
      </c>
      <c r="I591">
        <v>30</v>
      </c>
      <c r="J591">
        <v>20</v>
      </c>
      <c r="K591">
        <v>0.8</v>
      </c>
      <c r="M591">
        <v>0.5</v>
      </c>
      <c r="O591">
        <v>400</v>
      </c>
      <c r="P591">
        <v>700</v>
      </c>
      <c r="S591">
        <v>0.8</v>
      </c>
      <c r="T591">
        <v>1.6</v>
      </c>
      <c r="U591">
        <v>0.5</v>
      </c>
      <c r="W591">
        <v>50</v>
      </c>
      <c r="X591">
        <v>15</v>
      </c>
      <c r="Y591" t="s">
        <v>60</v>
      </c>
    </row>
    <row r="592" spans="1:25">
      <c r="A592" t="s">
        <v>1292</v>
      </c>
      <c r="B592" s="2" t="str">
        <f>Hyperlink("https://www.diodes.com/datasheet/download/DMN3401LVQ.pdf")</f>
        <v>https://www.diodes.com/datasheet/download/DMN3401LVQ.pdf</v>
      </c>
      <c r="C592" t="str">
        <f>Hyperlink("https://www.diodes.com/part/view/DMN3401LVQ","DMN3401LVQ")</f>
        <v>DMN3401LVQ</v>
      </c>
      <c r="D592" t="s">
        <v>1067</v>
      </c>
      <c r="E592" t="s">
        <v>27</v>
      </c>
      <c r="F592" t="s">
        <v>37</v>
      </c>
      <c r="G592" t="s">
        <v>40</v>
      </c>
      <c r="H592" t="s">
        <v>27</v>
      </c>
      <c r="I592">
        <v>30</v>
      </c>
      <c r="J592">
        <v>20</v>
      </c>
      <c r="K592">
        <v>0.8</v>
      </c>
      <c r="M592">
        <v>0.5</v>
      </c>
      <c r="O592">
        <v>400</v>
      </c>
      <c r="P592">
        <v>700</v>
      </c>
      <c r="S592">
        <v>0.8</v>
      </c>
      <c r="T592">
        <v>1.6</v>
      </c>
      <c r="U592">
        <v>0.5</v>
      </c>
      <c r="W592">
        <v>50</v>
      </c>
      <c r="X592">
        <v>15</v>
      </c>
      <c r="Y592" t="s">
        <v>60</v>
      </c>
    </row>
    <row r="593" spans="1:25">
      <c r="A593" t="s">
        <v>1293</v>
      </c>
      <c r="B593" s="2" t="str">
        <f>Hyperlink("https://www.diodes.com/datasheet/download/DMN3404L.pdf")</f>
        <v>https://www.diodes.com/datasheet/download/DMN3404L.pdf</v>
      </c>
      <c r="C593" t="str">
        <f>Hyperlink("https://www.diodes.com/part/view/DMN3404L","DMN3404L")</f>
        <v>DMN3404L</v>
      </c>
      <c r="D593" t="s">
        <v>26</v>
      </c>
      <c r="E593" t="s">
        <v>27</v>
      </c>
      <c r="F593" t="s">
        <v>28</v>
      </c>
      <c r="G593" t="s">
        <v>29</v>
      </c>
      <c r="H593" t="s">
        <v>30</v>
      </c>
      <c r="I593">
        <v>30</v>
      </c>
      <c r="J593">
        <v>20</v>
      </c>
      <c r="K593">
        <v>5.8</v>
      </c>
      <c r="M593">
        <v>1.4</v>
      </c>
      <c r="O593">
        <v>28</v>
      </c>
      <c r="P593">
        <v>42</v>
      </c>
      <c r="T593">
        <v>2</v>
      </c>
      <c r="U593">
        <v>5.3</v>
      </c>
      <c r="V593">
        <v>11.3</v>
      </c>
      <c r="W593">
        <v>498</v>
      </c>
      <c r="Y593" t="s">
        <v>32</v>
      </c>
    </row>
    <row r="594" spans="1:25">
      <c r="A594" t="s">
        <v>1294</v>
      </c>
      <c r="B594" s="2" t="str">
        <f>Hyperlink("https://www.diodes.com/datasheet/download/DMN34D0U.pdf")</f>
        <v>https://www.diodes.com/datasheet/download/DMN34D0U.pdf</v>
      </c>
      <c r="C594" t="str">
        <f>Hyperlink("https://www.diodes.com/part/view/DMN34D0U","DMN34D0U")</f>
        <v>DMN34D0U</v>
      </c>
      <c r="D594" t="s">
        <v>849</v>
      </c>
      <c r="E594" t="s">
        <v>30</v>
      </c>
      <c r="F594" t="s">
        <v>28</v>
      </c>
      <c r="G594" t="s">
        <v>29</v>
      </c>
      <c r="H594" t="s">
        <v>27</v>
      </c>
      <c r="I594">
        <v>25</v>
      </c>
      <c r="J594">
        <v>8</v>
      </c>
      <c r="K594">
        <v>0.3</v>
      </c>
      <c r="M594">
        <v>0.56</v>
      </c>
      <c r="P594">
        <v>4000</v>
      </c>
      <c r="S594">
        <v>1.1</v>
      </c>
      <c r="T594">
        <v>0.7</v>
      </c>
      <c r="U594">
        <v>0.4</v>
      </c>
      <c r="W594">
        <v>24</v>
      </c>
      <c r="X594">
        <v>10</v>
      </c>
      <c r="Y594" t="s">
        <v>35</v>
      </c>
    </row>
    <row r="595" spans="1:25">
      <c r="A595" t="s">
        <v>1295</v>
      </c>
      <c r="B595" s="2" t="str">
        <f>Hyperlink("https://www.diodes.com/datasheet/download/DMN3730UFB.pdf")</f>
        <v>https://www.diodes.com/datasheet/download/DMN3730UFB.pdf</v>
      </c>
      <c r="C595" t="str">
        <f>Hyperlink("https://www.diodes.com/part/view/DMN3730UFB","DMN3730UFB")</f>
        <v>DMN3730UFB</v>
      </c>
      <c r="D595" t="s">
        <v>26</v>
      </c>
      <c r="E595" t="s">
        <v>27</v>
      </c>
      <c r="F595" t="s">
        <v>28</v>
      </c>
      <c r="G595" t="s">
        <v>29</v>
      </c>
      <c r="H595" t="s">
        <v>27</v>
      </c>
      <c r="I595">
        <v>30</v>
      </c>
      <c r="J595">
        <v>8</v>
      </c>
      <c r="K595">
        <v>0.9</v>
      </c>
      <c r="M595">
        <v>0.69</v>
      </c>
      <c r="P595">
        <v>460</v>
      </c>
      <c r="Q595">
        <v>560</v>
      </c>
      <c r="R595">
        <v>730</v>
      </c>
      <c r="T595">
        <v>0.95</v>
      </c>
      <c r="U595">
        <v>1.6</v>
      </c>
      <c r="W595">
        <v>64.3</v>
      </c>
      <c r="Y595" t="s">
        <v>846</v>
      </c>
    </row>
    <row r="596" spans="1:25">
      <c r="A596" t="s">
        <v>1296</v>
      </c>
      <c r="B596" s="2" t="str">
        <f>Hyperlink("https://www.diodes.com/datasheet/download/DMN3730UFB4.pdf")</f>
        <v>https://www.diodes.com/datasheet/download/DMN3730UFB4.pdf</v>
      </c>
      <c r="C596" t="str">
        <f>Hyperlink("https://www.diodes.com/part/view/DMN3730UFB4","DMN3730UFB4")</f>
        <v>DMN3730UFB4</v>
      </c>
      <c r="D596" t="s">
        <v>26</v>
      </c>
      <c r="E596" t="s">
        <v>27</v>
      </c>
      <c r="F596" t="s">
        <v>28</v>
      </c>
      <c r="G596" t="s">
        <v>29</v>
      </c>
      <c r="H596" t="s">
        <v>27</v>
      </c>
      <c r="I596">
        <v>30</v>
      </c>
      <c r="J596">
        <v>8</v>
      </c>
      <c r="K596">
        <v>0.9</v>
      </c>
      <c r="M596">
        <v>0.69</v>
      </c>
      <c r="P596">
        <v>460</v>
      </c>
      <c r="Q596">
        <v>560</v>
      </c>
      <c r="R596">
        <v>730</v>
      </c>
      <c r="T596">
        <v>0.95</v>
      </c>
      <c r="U596">
        <v>1.6</v>
      </c>
      <c r="W596">
        <v>64.3</v>
      </c>
      <c r="Y596" t="s">
        <v>901</v>
      </c>
    </row>
    <row r="597" spans="1:25">
      <c r="A597" t="s">
        <v>1297</v>
      </c>
      <c r="B597" s="2" t="str">
        <f>Hyperlink("https://www.diodes.com/datasheet/download/DMN3731U.pdf")</f>
        <v>https://www.diodes.com/datasheet/download/DMN3731U.pdf</v>
      </c>
      <c r="C597" t="str">
        <f>Hyperlink("https://www.diodes.com/part/view/DMN3731U","DMN3731U")</f>
        <v>DMN3731U</v>
      </c>
      <c r="D597" t="s">
        <v>666</v>
      </c>
      <c r="E597" t="s">
        <v>30</v>
      </c>
      <c r="F597" t="s">
        <v>28</v>
      </c>
      <c r="G597" t="s">
        <v>29</v>
      </c>
      <c r="H597" t="s">
        <v>27</v>
      </c>
      <c r="I597">
        <v>30</v>
      </c>
      <c r="J597">
        <v>8</v>
      </c>
      <c r="K597">
        <v>0.9</v>
      </c>
      <c r="M597">
        <v>0.58</v>
      </c>
      <c r="P597">
        <v>460</v>
      </c>
      <c r="Q597">
        <v>560</v>
      </c>
      <c r="R597">
        <v>730</v>
      </c>
      <c r="T597">
        <v>0.95</v>
      </c>
      <c r="U597">
        <v>5.5</v>
      </c>
      <c r="W597">
        <v>73</v>
      </c>
      <c r="X597">
        <v>25</v>
      </c>
      <c r="Y597" t="s">
        <v>35</v>
      </c>
    </row>
    <row r="598" spans="1:25">
      <c r="A598" t="s">
        <v>1298</v>
      </c>
      <c r="B598" s="2" t="str">
        <f>Hyperlink("https://www.diodes.com/datasheet/download/DMN3731UFB4.pdf")</f>
        <v>https://www.diodes.com/datasheet/download/DMN3731UFB4.pdf</v>
      </c>
      <c r="C598" t="str">
        <f>Hyperlink("https://www.diodes.com/part/view/DMN3731UFB4","DMN3731UFB4")</f>
        <v>DMN3731UFB4</v>
      </c>
      <c r="D598" t="s">
        <v>666</v>
      </c>
      <c r="E598" t="s">
        <v>30</v>
      </c>
      <c r="F598" t="s">
        <v>28</v>
      </c>
      <c r="G598" t="s">
        <v>29</v>
      </c>
      <c r="H598" t="s">
        <v>27</v>
      </c>
      <c r="I598">
        <v>30</v>
      </c>
      <c r="J598">
        <v>8</v>
      </c>
      <c r="K598">
        <v>1.2</v>
      </c>
      <c r="M598">
        <v>0.97</v>
      </c>
      <c r="P598">
        <v>460</v>
      </c>
      <c r="Q598">
        <v>560</v>
      </c>
      <c r="R598">
        <v>730</v>
      </c>
      <c r="T598">
        <v>0.95</v>
      </c>
      <c r="U598">
        <v>5.5</v>
      </c>
      <c r="W598">
        <v>73</v>
      </c>
      <c r="X598">
        <v>25</v>
      </c>
      <c r="Y598" t="s">
        <v>901</v>
      </c>
    </row>
    <row r="599" spans="1:25">
      <c r="A599" t="s">
        <v>1299</v>
      </c>
      <c r="B599" s="2" t="str">
        <f>Hyperlink("https://www.diodes.com/datasheet/download/DMN3732U.pdf")</f>
        <v>https://www.diodes.com/datasheet/download/DMN3732U.pdf</v>
      </c>
      <c r="C599" t="str">
        <f>Hyperlink("https://www.diodes.com/part/view/DMN3732U","DMN3732U")</f>
        <v>DMN3732U</v>
      </c>
      <c r="D599" t="s">
        <v>1101</v>
      </c>
      <c r="E599" t="s">
        <v>30</v>
      </c>
      <c r="F599" t="s">
        <v>28</v>
      </c>
      <c r="G599" t="s">
        <v>29</v>
      </c>
      <c r="H599" t="s">
        <v>27</v>
      </c>
      <c r="I599">
        <v>30</v>
      </c>
      <c r="J599">
        <v>8</v>
      </c>
      <c r="K599">
        <v>1</v>
      </c>
      <c r="M599">
        <v>0.65</v>
      </c>
      <c r="P599">
        <v>460</v>
      </c>
      <c r="Q599">
        <v>560</v>
      </c>
      <c r="R599">
        <v>730</v>
      </c>
      <c r="S599">
        <v>0.45</v>
      </c>
      <c r="T599">
        <v>0.95</v>
      </c>
      <c r="U599">
        <v>0.9</v>
      </c>
      <c r="W599">
        <v>40.8</v>
      </c>
      <c r="X599">
        <v>25</v>
      </c>
      <c r="Y599" t="s">
        <v>35</v>
      </c>
    </row>
    <row r="600" spans="1:25">
      <c r="A600" t="s">
        <v>1300</v>
      </c>
      <c r="B600" s="2" t="str">
        <f>Hyperlink("https://www.diodes.com/datasheet/download/DMN3732UFB4.pdf")</f>
        <v>https://www.diodes.com/datasheet/download/DMN3732UFB4.pdf</v>
      </c>
      <c r="C600" t="str">
        <f>Hyperlink("https://www.diodes.com/part/view/DMN3732UFB4","DMN3732UFB4")</f>
        <v>DMN3732UFB4</v>
      </c>
      <c r="D600" t="s">
        <v>666</v>
      </c>
      <c r="E600" t="s">
        <v>30</v>
      </c>
      <c r="F600" t="s">
        <v>28</v>
      </c>
      <c r="G600" t="s">
        <v>29</v>
      </c>
      <c r="H600" t="s">
        <v>27</v>
      </c>
      <c r="I600">
        <v>30</v>
      </c>
      <c r="J600">
        <v>8</v>
      </c>
      <c r="K600">
        <v>1.3</v>
      </c>
      <c r="M600">
        <v>1.12</v>
      </c>
      <c r="P600">
        <v>460</v>
      </c>
      <c r="Q600">
        <v>560</v>
      </c>
      <c r="R600">
        <v>730</v>
      </c>
      <c r="S600">
        <v>0.45</v>
      </c>
      <c r="T600">
        <v>0.95</v>
      </c>
      <c r="U600">
        <v>0.9</v>
      </c>
      <c r="W600">
        <v>40.8</v>
      </c>
      <c r="X600">
        <v>25</v>
      </c>
      <c r="Y600" t="s">
        <v>901</v>
      </c>
    </row>
    <row r="601" spans="1:25">
      <c r="A601" t="s">
        <v>1301</v>
      </c>
      <c r="B601" s="2" t="str">
        <f>Hyperlink("https://www.diodes.com/datasheet/download/DMN3732UFB4Q.pdf")</f>
        <v>https://www.diodes.com/datasheet/download/DMN3732UFB4Q.pdf</v>
      </c>
      <c r="C601" t="str">
        <f>Hyperlink("https://www.diodes.com/part/view/DMN3732UFB4Q","DMN3732UFB4Q")</f>
        <v>DMN3732UFB4Q</v>
      </c>
      <c r="D601" t="s">
        <v>666</v>
      </c>
      <c r="E601" t="s">
        <v>27</v>
      </c>
      <c r="F601" t="s">
        <v>37</v>
      </c>
      <c r="G601" t="s">
        <v>29</v>
      </c>
      <c r="H601" t="s">
        <v>27</v>
      </c>
      <c r="I601">
        <v>30</v>
      </c>
      <c r="J601">
        <v>8</v>
      </c>
      <c r="K601">
        <v>1.3</v>
      </c>
      <c r="M601">
        <v>1.12</v>
      </c>
      <c r="P601">
        <v>460</v>
      </c>
      <c r="Q601">
        <v>560</v>
      </c>
      <c r="R601">
        <v>730</v>
      </c>
      <c r="S601">
        <v>0.45</v>
      </c>
      <c r="T601">
        <v>0.95</v>
      </c>
      <c r="U601">
        <v>0.9</v>
      </c>
      <c r="W601">
        <v>40.8</v>
      </c>
      <c r="X601">
        <v>25</v>
      </c>
      <c r="Y601" t="s">
        <v>901</v>
      </c>
    </row>
    <row r="602" spans="1:25">
      <c r="A602" t="s">
        <v>1302</v>
      </c>
      <c r="B602" s="2" t="str">
        <f>Hyperlink("https://www.diodes.com/datasheet/download/DMN3732UQ.pdf")</f>
        <v>https://www.diodes.com/datasheet/download/DMN3732UQ.pdf</v>
      </c>
      <c r="C602" t="str">
        <f>Hyperlink("https://www.diodes.com/part/view/DMN3732UQ","DMN3732UQ")</f>
        <v>DMN3732UQ</v>
      </c>
      <c r="D602" t="s">
        <v>1101</v>
      </c>
      <c r="E602" t="s">
        <v>27</v>
      </c>
      <c r="F602" t="s">
        <v>37</v>
      </c>
      <c r="G602" t="s">
        <v>29</v>
      </c>
      <c r="H602" t="s">
        <v>27</v>
      </c>
      <c r="I602">
        <v>30</v>
      </c>
      <c r="J602">
        <v>8</v>
      </c>
      <c r="K602">
        <v>1</v>
      </c>
      <c r="M602">
        <v>0.65</v>
      </c>
      <c r="P602">
        <v>460</v>
      </c>
      <c r="Q602">
        <v>560</v>
      </c>
      <c r="R602">
        <v>730</v>
      </c>
      <c r="S602">
        <v>0.45</v>
      </c>
      <c r="T602">
        <v>0.95</v>
      </c>
      <c r="U602">
        <v>0.9</v>
      </c>
      <c r="W602">
        <v>40.8</v>
      </c>
      <c r="X602">
        <v>25</v>
      </c>
      <c r="Y602" t="s">
        <v>35</v>
      </c>
    </row>
    <row r="603" spans="1:25">
      <c r="A603" t="s">
        <v>1303</v>
      </c>
      <c r="B603" s="2" t="str">
        <f>Hyperlink("https://www.diodes.com/datasheet/download/DMN3732UVT.pdf")</f>
        <v>https://www.diodes.com/datasheet/download/DMN3732UVT.pdf</v>
      </c>
      <c r="C603" t="str">
        <f>Hyperlink("https://www.diodes.com/part/view/DMN3732UVT","DMN3732UVT")</f>
        <v>DMN3732UVT</v>
      </c>
      <c r="D603" t="s">
        <v>1067</v>
      </c>
      <c r="E603" t="s">
        <v>30</v>
      </c>
      <c r="F603" t="s">
        <v>28</v>
      </c>
      <c r="G603" t="s">
        <v>40</v>
      </c>
      <c r="H603" t="s">
        <v>30</v>
      </c>
      <c r="I603">
        <v>30</v>
      </c>
      <c r="J603">
        <v>8</v>
      </c>
      <c r="K603">
        <v>1.1</v>
      </c>
      <c r="M603">
        <v>0.8</v>
      </c>
      <c r="P603">
        <v>460</v>
      </c>
      <c r="Q603">
        <v>560</v>
      </c>
      <c r="R603">
        <v>730</v>
      </c>
      <c r="S603">
        <v>0.45</v>
      </c>
      <c r="T603">
        <v>0.95</v>
      </c>
      <c r="U603">
        <v>0.9</v>
      </c>
      <c r="W603">
        <v>40.8</v>
      </c>
      <c r="X603">
        <v>25</v>
      </c>
      <c r="Y603" t="s">
        <v>183</v>
      </c>
    </row>
    <row r="604" spans="1:25">
      <c r="A604" t="s">
        <v>1304</v>
      </c>
      <c r="B604" s="2" t="str">
        <f>Hyperlink("https://www.diodes.com/datasheet/download/DMN3732UVTQ.pdf")</f>
        <v>https://www.diodes.com/datasheet/download/DMN3732UVTQ.pdf</v>
      </c>
      <c r="C604" t="str">
        <f>Hyperlink("https://www.diodes.com/part/view/DMN3732UVTQ","DMN3732UVTQ")</f>
        <v>DMN3732UVTQ</v>
      </c>
      <c r="D604" t="s">
        <v>1067</v>
      </c>
      <c r="E604" t="s">
        <v>27</v>
      </c>
      <c r="F604" t="s">
        <v>37</v>
      </c>
      <c r="G604" t="s">
        <v>40</v>
      </c>
      <c r="H604" t="s">
        <v>30</v>
      </c>
      <c r="I604">
        <v>30</v>
      </c>
      <c r="J604">
        <v>8</v>
      </c>
      <c r="K604">
        <v>1.1</v>
      </c>
      <c r="M604">
        <v>0.8</v>
      </c>
      <c r="P604">
        <v>460</v>
      </c>
      <c r="Q604">
        <v>560</v>
      </c>
      <c r="R604">
        <v>730</v>
      </c>
      <c r="S604">
        <v>0.45</v>
      </c>
      <c r="T604">
        <v>0.95</v>
      </c>
      <c r="U604">
        <v>0.9</v>
      </c>
      <c r="W604">
        <v>40.8</v>
      </c>
      <c r="X604">
        <v>25</v>
      </c>
      <c r="Y604" t="s">
        <v>183</v>
      </c>
    </row>
    <row r="605" spans="1:25">
      <c r="A605" t="s">
        <v>1305</v>
      </c>
      <c r="B605" s="2" t="str">
        <f>Hyperlink("https://www.diodes.com/datasheet/download/DMN38M1SCA10.pdf")</f>
        <v>https://www.diodes.com/datasheet/download/DMN38M1SCA10.pdf</v>
      </c>
      <c r="C605" t="str">
        <f>Hyperlink("https://www.diodes.com/part/view/DMN38M1SCA10","DMN38M1SCA10")</f>
        <v>DMN38M1SCA10</v>
      </c>
      <c r="D605" t="s">
        <v>1306</v>
      </c>
      <c r="E605" t="s">
        <v>30</v>
      </c>
      <c r="F605" t="s">
        <v>28</v>
      </c>
      <c r="G605" t="s">
        <v>29</v>
      </c>
      <c r="H605" t="s">
        <v>27</v>
      </c>
      <c r="I605">
        <v>30</v>
      </c>
      <c r="J605">
        <v>20</v>
      </c>
      <c r="K605">
        <v>16</v>
      </c>
      <c r="M605">
        <v>3</v>
      </c>
      <c r="O605">
        <v>7.8</v>
      </c>
      <c r="P605">
        <v>11</v>
      </c>
      <c r="S605">
        <v>1.3</v>
      </c>
      <c r="T605">
        <v>2.3</v>
      </c>
      <c r="U605">
        <v>16.9</v>
      </c>
      <c r="V605">
        <v>36.7</v>
      </c>
      <c r="W605">
        <v>1914</v>
      </c>
      <c r="X605">
        <v>15</v>
      </c>
      <c r="Y605" t="s">
        <v>1103</v>
      </c>
    </row>
    <row r="606" spans="1:25">
      <c r="A606" t="s">
        <v>1307</v>
      </c>
      <c r="B606" s="2" t="str">
        <f>Hyperlink("https://www.diodes.com/datasheet/download/DMN3900UFA.pdf")</f>
        <v>https://www.diodes.com/datasheet/download/DMN3900UFA.pdf</v>
      </c>
      <c r="C606" t="str">
        <f>Hyperlink("https://www.diodes.com/part/view/DMN3900UFA","DMN3900UFA")</f>
        <v>DMN3900UFA</v>
      </c>
      <c r="D606" t="s">
        <v>26</v>
      </c>
      <c r="E606" t="s">
        <v>27</v>
      </c>
      <c r="F606" t="s">
        <v>28</v>
      </c>
      <c r="G606" t="s">
        <v>29</v>
      </c>
      <c r="H606" t="s">
        <v>27</v>
      </c>
      <c r="I606">
        <v>30</v>
      </c>
      <c r="J606">
        <v>8</v>
      </c>
      <c r="K606">
        <v>0.65</v>
      </c>
      <c r="M606">
        <v>0.49</v>
      </c>
      <c r="P606">
        <v>760</v>
      </c>
      <c r="Q606">
        <v>930</v>
      </c>
      <c r="R606">
        <v>1500</v>
      </c>
      <c r="T606">
        <v>0.95</v>
      </c>
      <c r="U606">
        <v>0.7</v>
      </c>
      <c r="W606">
        <v>42.2</v>
      </c>
      <c r="Y606" t="s">
        <v>855</v>
      </c>
    </row>
    <row r="607" spans="1:25">
      <c r="A607" t="s">
        <v>1308</v>
      </c>
      <c r="B607" s="2" t="str">
        <f>Hyperlink("https://www.diodes.com/datasheet/download/DMN39M1LFVW.pdf")</f>
        <v>https://www.diodes.com/datasheet/download/DMN39M1LFVW.pdf</v>
      </c>
      <c r="C607" t="str">
        <f>Hyperlink("https://www.diodes.com/part/view/DMN39M1LFVW","DMN39M1LFVW")</f>
        <v>DMN39M1LFVW</v>
      </c>
      <c r="D607" t="s">
        <v>1101</v>
      </c>
      <c r="E607" t="s">
        <v>30</v>
      </c>
      <c r="F607" t="s">
        <v>28</v>
      </c>
      <c r="G607" t="s">
        <v>29</v>
      </c>
      <c r="H607" t="s">
        <v>30</v>
      </c>
      <c r="I607">
        <v>30</v>
      </c>
      <c r="J607">
        <v>20</v>
      </c>
      <c r="K607">
        <v>87</v>
      </c>
      <c r="M607">
        <v>2.7</v>
      </c>
      <c r="N607">
        <v>2.2</v>
      </c>
      <c r="O607">
        <v>5</v>
      </c>
      <c r="P607">
        <v>7.4</v>
      </c>
      <c r="S607">
        <v>1</v>
      </c>
      <c r="T607">
        <v>2.5</v>
      </c>
      <c r="U607">
        <v>19</v>
      </c>
      <c r="V607">
        <v>40</v>
      </c>
      <c r="W607">
        <v>2387</v>
      </c>
      <c r="X607">
        <v>15</v>
      </c>
      <c r="Y607" t="s">
        <v>1109</v>
      </c>
    </row>
    <row r="608" spans="1:25">
      <c r="A608" t="s">
        <v>1309</v>
      </c>
      <c r="B608" s="2" t="str">
        <f>Hyperlink("https://www.diodes.com/datasheet/download/DMN39M1LFVWQ.pdf")</f>
        <v>https://www.diodes.com/datasheet/download/DMN39M1LFVWQ.pdf</v>
      </c>
      <c r="C608" t="str">
        <f>Hyperlink("https://www.diodes.com/part/view/DMN39M1LFVWQ","DMN39M1LFVWQ")</f>
        <v>DMN39M1LFVWQ</v>
      </c>
      <c r="D608" t="s">
        <v>1101</v>
      </c>
      <c r="E608" t="s">
        <v>27</v>
      </c>
      <c r="F608" t="s">
        <v>37</v>
      </c>
      <c r="G608" t="s">
        <v>29</v>
      </c>
      <c r="H608" t="s">
        <v>30</v>
      </c>
      <c r="I608">
        <v>30</v>
      </c>
      <c r="J608">
        <v>20</v>
      </c>
      <c r="L608">
        <v>87</v>
      </c>
      <c r="M608">
        <v>2.7</v>
      </c>
      <c r="N608">
        <v>2.2</v>
      </c>
      <c r="O608">
        <v>5</v>
      </c>
      <c r="P608">
        <v>7.4</v>
      </c>
      <c r="S608">
        <v>1</v>
      </c>
      <c r="T608">
        <v>2.5</v>
      </c>
      <c r="U608">
        <v>19</v>
      </c>
      <c r="V608">
        <v>40</v>
      </c>
      <c r="W608">
        <v>2387</v>
      </c>
      <c r="X608">
        <v>15</v>
      </c>
      <c r="Y608" t="s">
        <v>1109</v>
      </c>
    </row>
    <row r="609" spans="1:25">
      <c r="A609" t="s">
        <v>1310</v>
      </c>
      <c r="B609" s="2" t="str">
        <f>Hyperlink("https://www.diodes.com/datasheet/download/DMN39M1LK3.pdf")</f>
        <v>https://www.diodes.com/datasheet/download/DMN39M1LK3.pdf</v>
      </c>
      <c r="C609" t="str">
        <f>Hyperlink("https://www.diodes.com/part/view/DMN39M1LK3","DMN39M1LK3")</f>
        <v>DMN39M1LK3</v>
      </c>
      <c r="D609" t="s">
        <v>666</v>
      </c>
      <c r="E609" t="s">
        <v>27</v>
      </c>
      <c r="F609" t="s">
        <v>28</v>
      </c>
      <c r="G609" t="s">
        <v>29</v>
      </c>
      <c r="H609" t="s">
        <v>30</v>
      </c>
      <c r="I609">
        <v>30</v>
      </c>
      <c r="J609">
        <v>20</v>
      </c>
      <c r="K609">
        <v>17.9</v>
      </c>
      <c r="L609">
        <v>89.3</v>
      </c>
      <c r="M609">
        <v>2.6</v>
      </c>
      <c r="N609">
        <v>65.7</v>
      </c>
      <c r="O609">
        <v>5.5</v>
      </c>
      <c r="P609">
        <v>9</v>
      </c>
      <c r="S609">
        <v>1</v>
      </c>
      <c r="T609">
        <v>2.5</v>
      </c>
      <c r="U609">
        <v>19.3</v>
      </c>
      <c r="V609">
        <v>38.6</v>
      </c>
      <c r="W609">
        <v>2253</v>
      </c>
      <c r="X609">
        <v>15</v>
      </c>
      <c r="Y609" t="s">
        <v>681</v>
      </c>
    </row>
    <row r="610" spans="1:25">
      <c r="A610" t="s">
        <v>1311</v>
      </c>
      <c r="B610" s="2" t="str">
        <f>Hyperlink("https://www.diodes.com/datasheet/download/DMN39M1LSS.pdf")</f>
        <v>https://www.diodes.com/datasheet/download/DMN39M1LSS.pdf</v>
      </c>
      <c r="C610" t="str">
        <f>Hyperlink("https://www.diodes.com/part/view/DMN39M1LSS","DMN39M1LSS")</f>
        <v>DMN39M1LSS</v>
      </c>
      <c r="D610" t="s">
        <v>1101</v>
      </c>
      <c r="E610" t="s">
        <v>30</v>
      </c>
      <c r="F610" t="s">
        <v>28</v>
      </c>
      <c r="G610" t="s">
        <v>29</v>
      </c>
      <c r="H610" t="s">
        <v>30</v>
      </c>
      <c r="I610">
        <v>30</v>
      </c>
      <c r="J610">
        <v>20</v>
      </c>
      <c r="K610">
        <v>87</v>
      </c>
      <c r="M610">
        <v>1.9</v>
      </c>
      <c r="O610">
        <v>5.5</v>
      </c>
      <c r="P610">
        <v>7.5</v>
      </c>
      <c r="S610">
        <v>1</v>
      </c>
      <c r="T610">
        <v>2.5</v>
      </c>
      <c r="U610">
        <v>21</v>
      </c>
      <c r="V610">
        <v>42</v>
      </c>
      <c r="W610">
        <v>2311</v>
      </c>
      <c r="X610">
        <v>15</v>
      </c>
      <c r="Y610" t="s">
        <v>213</v>
      </c>
    </row>
    <row r="611" spans="1:25">
      <c r="A611" t="s">
        <v>1312</v>
      </c>
      <c r="B611" s="2" t="str">
        <f>Hyperlink("https://www.diodes.com/datasheet/download/DMN39M1LSSQ.pdf")</f>
        <v>https://www.diodes.com/datasheet/download/DMN39M1LSSQ.pdf</v>
      </c>
      <c r="C611" t="str">
        <f>Hyperlink("https://www.diodes.com/part/view/DMN39M1LSSQ","DMN39M1LSSQ")</f>
        <v>DMN39M1LSSQ</v>
      </c>
      <c r="D611" t="s">
        <v>1101</v>
      </c>
      <c r="E611" t="s">
        <v>27</v>
      </c>
      <c r="F611" t="s">
        <v>37</v>
      </c>
      <c r="G611" t="s">
        <v>29</v>
      </c>
      <c r="H611" t="s">
        <v>30</v>
      </c>
      <c r="I611">
        <v>30</v>
      </c>
      <c r="J611">
        <v>20</v>
      </c>
      <c r="K611">
        <v>87</v>
      </c>
      <c r="M611">
        <v>1.9</v>
      </c>
      <c r="O611">
        <v>5.5</v>
      </c>
      <c r="P611">
        <v>7.5</v>
      </c>
      <c r="S611">
        <v>1</v>
      </c>
      <c r="T611">
        <v>2.5</v>
      </c>
      <c r="U611">
        <v>21</v>
      </c>
      <c r="V611">
        <v>42</v>
      </c>
      <c r="W611">
        <v>2311</v>
      </c>
      <c r="X611">
        <v>15</v>
      </c>
      <c r="Y611" t="s">
        <v>213</v>
      </c>
    </row>
    <row r="612" spans="1:25">
      <c r="A612" t="s">
        <v>1313</v>
      </c>
      <c r="B612" s="2" t="str">
        <f>Hyperlink("https://www.diodes.com/datasheet/download/DMN4008LFG.pdf")</f>
        <v>https://www.diodes.com/datasheet/download/DMN4008LFG.pdf</v>
      </c>
      <c r="C612" t="str">
        <f>Hyperlink("https://www.diodes.com/part/view/DMN4008LFG","DMN4008LFG")</f>
        <v>DMN4008LFG</v>
      </c>
      <c r="D612" t="s">
        <v>1314</v>
      </c>
      <c r="E612" t="s">
        <v>27</v>
      </c>
      <c r="F612" t="s">
        <v>28</v>
      </c>
      <c r="G612" t="s">
        <v>29</v>
      </c>
      <c r="H612" t="s">
        <v>30</v>
      </c>
      <c r="I612">
        <v>40</v>
      </c>
      <c r="J612">
        <v>20</v>
      </c>
      <c r="K612">
        <v>14.4</v>
      </c>
      <c r="M612">
        <v>2.3</v>
      </c>
      <c r="O612">
        <v>7.5</v>
      </c>
      <c r="P612">
        <v>10</v>
      </c>
      <c r="Q612" t="s">
        <v>1315</v>
      </c>
      <c r="T612">
        <v>3</v>
      </c>
      <c r="U612">
        <v>34</v>
      </c>
      <c r="V612">
        <v>74</v>
      </c>
      <c r="W612">
        <v>3537</v>
      </c>
      <c r="Y612" t="s">
        <v>718</v>
      </c>
    </row>
    <row r="613" spans="1:25">
      <c r="A613" t="s">
        <v>1316</v>
      </c>
      <c r="B613" s="2" t="str">
        <f>Hyperlink("https://www.diodes.com/datasheet/download/DMN4010LFG.pdf")</f>
        <v>https://www.diodes.com/datasheet/download/DMN4010LFG.pdf</v>
      </c>
      <c r="C613" t="str">
        <f>Hyperlink("https://www.diodes.com/part/view/DMN4010LFG","DMN4010LFG")</f>
        <v>DMN4010LFG</v>
      </c>
      <c r="D613" t="s">
        <v>26</v>
      </c>
      <c r="E613" t="s">
        <v>27</v>
      </c>
      <c r="F613" t="s">
        <v>28</v>
      </c>
      <c r="G613" t="s">
        <v>29</v>
      </c>
      <c r="H613" t="s">
        <v>30</v>
      </c>
      <c r="I613">
        <v>40</v>
      </c>
      <c r="J613">
        <v>20</v>
      </c>
      <c r="K613">
        <v>11.5</v>
      </c>
      <c r="M613">
        <v>2.45</v>
      </c>
      <c r="O613">
        <v>12</v>
      </c>
      <c r="P613">
        <v>15</v>
      </c>
      <c r="T613">
        <v>3</v>
      </c>
      <c r="U613">
        <v>17</v>
      </c>
      <c r="V613">
        <v>37</v>
      </c>
      <c r="W613">
        <v>1810</v>
      </c>
      <c r="Y613" t="s">
        <v>718</v>
      </c>
    </row>
    <row r="614" spans="1:25">
      <c r="A614" t="s">
        <v>1317</v>
      </c>
      <c r="B614" s="2" t="str">
        <f>Hyperlink("https://www.diodes.com/datasheet/download/DMN4010LK3.pdf")</f>
        <v>https://www.diodes.com/datasheet/download/DMN4010LK3.pdf</v>
      </c>
      <c r="C614" t="str">
        <f>Hyperlink("https://www.diodes.com/part/view/DMN4010LK3","DMN4010LK3")</f>
        <v>DMN4010LK3</v>
      </c>
      <c r="D614" t="s">
        <v>26</v>
      </c>
      <c r="E614" t="s">
        <v>27</v>
      </c>
      <c r="F614" t="s">
        <v>28</v>
      </c>
      <c r="G614" t="s">
        <v>29</v>
      </c>
      <c r="H614" t="s">
        <v>30</v>
      </c>
      <c r="I614">
        <v>40</v>
      </c>
      <c r="J614">
        <v>20</v>
      </c>
      <c r="K614">
        <v>11.9</v>
      </c>
      <c r="L614">
        <v>39</v>
      </c>
      <c r="M614">
        <v>2.4</v>
      </c>
      <c r="O614">
        <v>11.5</v>
      </c>
      <c r="P614">
        <v>14.5</v>
      </c>
      <c r="S614">
        <v>1</v>
      </c>
      <c r="T614">
        <v>3</v>
      </c>
      <c r="U614">
        <v>17</v>
      </c>
      <c r="V614">
        <v>37</v>
      </c>
      <c r="W614">
        <v>1810</v>
      </c>
      <c r="X614">
        <v>20</v>
      </c>
      <c r="Y614" t="s">
        <v>681</v>
      </c>
    </row>
    <row r="615" spans="1:25">
      <c r="A615" t="s">
        <v>1318</v>
      </c>
      <c r="B615" s="2" t="str">
        <f>Hyperlink("https://www.diodes.com/datasheet/download/DMN4020LFDE.pdf")</f>
        <v>https://www.diodes.com/datasheet/download/DMN4020LFDE.pdf</v>
      </c>
      <c r="C615" t="str">
        <f>Hyperlink("https://www.diodes.com/part/view/DMN4020LFDE","DMN4020LFDE")</f>
        <v>DMN4020LFDE</v>
      </c>
      <c r="D615" t="s">
        <v>26</v>
      </c>
      <c r="E615" t="s">
        <v>27</v>
      </c>
      <c r="F615" t="s">
        <v>28</v>
      </c>
      <c r="G615" t="s">
        <v>29</v>
      </c>
      <c r="H615" t="s">
        <v>30</v>
      </c>
      <c r="I615">
        <v>40</v>
      </c>
      <c r="J615">
        <v>20</v>
      </c>
      <c r="K615">
        <v>8</v>
      </c>
      <c r="M615">
        <v>2.03</v>
      </c>
      <c r="O615">
        <v>20</v>
      </c>
      <c r="P615">
        <v>28</v>
      </c>
      <c r="T615">
        <v>2.4</v>
      </c>
      <c r="U615">
        <v>8.8</v>
      </c>
      <c r="V615">
        <v>19.1</v>
      </c>
      <c r="W615">
        <v>1060</v>
      </c>
      <c r="Y615" t="s">
        <v>778</v>
      </c>
    </row>
    <row r="616" spans="1:25">
      <c r="A616" t="s">
        <v>1319</v>
      </c>
      <c r="B616" s="2" t="str">
        <f>Hyperlink("https://www.diodes.com/datasheet/download/DMN4020LFDEQ.pdf")</f>
        <v>https://www.diodes.com/datasheet/download/DMN4020LFDEQ.pdf</v>
      </c>
      <c r="C616" t="str">
        <f>Hyperlink("https://www.diodes.com/part/view/DMN4020LFDEQ","DMN4020LFDEQ")</f>
        <v>DMN4020LFDEQ</v>
      </c>
      <c r="D616" t="s">
        <v>1314</v>
      </c>
      <c r="E616" t="s">
        <v>27</v>
      </c>
      <c r="F616" t="s">
        <v>37</v>
      </c>
      <c r="G616" t="s">
        <v>29</v>
      </c>
      <c r="H616" t="s">
        <v>30</v>
      </c>
      <c r="I616">
        <v>40</v>
      </c>
      <c r="J616">
        <v>20</v>
      </c>
      <c r="K616">
        <v>8.6</v>
      </c>
      <c r="M616">
        <v>2.35</v>
      </c>
      <c r="O616">
        <v>21</v>
      </c>
      <c r="P616">
        <v>28</v>
      </c>
      <c r="T616">
        <v>2.4</v>
      </c>
      <c r="U616">
        <v>12.7</v>
      </c>
      <c r="V616">
        <v>25.3</v>
      </c>
      <c r="W616">
        <v>1201</v>
      </c>
      <c r="X616">
        <v>20</v>
      </c>
      <c r="Y616" t="s">
        <v>778</v>
      </c>
    </row>
    <row r="617" spans="1:25">
      <c r="A617" t="s">
        <v>1320</v>
      </c>
      <c r="B617" s="2" t="str">
        <f>Hyperlink("https://www.diodes.com/datasheet/download/DMN4026SK3.pdf")</f>
        <v>https://www.diodes.com/datasheet/download/DMN4026SK3.pdf</v>
      </c>
      <c r="C617" t="str">
        <f>Hyperlink("https://www.diodes.com/part/view/DMN4026SK3","DMN4026SK3")</f>
        <v>DMN4026SK3</v>
      </c>
      <c r="D617" t="s">
        <v>26</v>
      </c>
      <c r="E617" t="s">
        <v>30</v>
      </c>
      <c r="F617" t="s">
        <v>28</v>
      </c>
      <c r="G617" t="s">
        <v>29</v>
      </c>
      <c r="H617" t="s">
        <v>30</v>
      </c>
      <c r="I617">
        <v>40</v>
      </c>
      <c r="J617">
        <v>20</v>
      </c>
      <c r="L617">
        <v>28</v>
      </c>
      <c r="M617">
        <v>3.4</v>
      </c>
      <c r="O617">
        <v>24</v>
      </c>
      <c r="P617">
        <v>32</v>
      </c>
      <c r="T617">
        <v>3</v>
      </c>
      <c r="U617">
        <v>9.6</v>
      </c>
      <c r="V617">
        <v>21.3</v>
      </c>
      <c r="W617">
        <v>1181</v>
      </c>
      <c r="X617">
        <v>20</v>
      </c>
      <c r="Y617" t="s">
        <v>681</v>
      </c>
    </row>
    <row r="618" spans="1:25">
      <c r="A618" t="s">
        <v>1321</v>
      </c>
      <c r="B618" s="2" t="str">
        <f>Hyperlink("https://www.diodes.com/datasheet/download/DMN4026SSD.pdf")</f>
        <v>https://www.diodes.com/datasheet/download/DMN4026SSD.pdf</v>
      </c>
      <c r="C618" t="str">
        <f>Hyperlink("https://www.diodes.com/part/view/DMN4026SSD","DMN4026SSD")</f>
        <v>DMN4026SSD</v>
      </c>
      <c r="D618" t="s">
        <v>1322</v>
      </c>
      <c r="E618" t="s">
        <v>27</v>
      </c>
      <c r="F618" t="s">
        <v>28</v>
      </c>
      <c r="G618" t="s">
        <v>40</v>
      </c>
      <c r="H618" t="s">
        <v>30</v>
      </c>
      <c r="I618">
        <v>40</v>
      </c>
      <c r="J618">
        <v>20</v>
      </c>
      <c r="K618">
        <v>9</v>
      </c>
      <c r="M618">
        <v>1.8</v>
      </c>
      <c r="O618">
        <v>24</v>
      </c>
      <c r="P618">
        <v>32</v>
      </c>
      <c r="T618">
        <v>3</v>
      </c>
      <c r="U618">
        <v>8.8</v>
      </c>
      <c r="V618">
        <v>19.1</v>
      </c>
      <c r="W618">
        <v>1060</v>
      </c>
      <c r="Y618" t="s">
        <v>213</v>
      </c>
    </row>
    <row r="619" spans="1:25">
      <c r="A619" t="s">
        <v>1323</v>
      </c>
      <c r="B619" s="2" t="str">
        <f>Hyperlink("https://www.diodes.com/datasheet/download/DMN4026SSDQ.pdf")</f>
        <v>https://www.diodes.com/datasheet/download/DMN4026SSDQ.pdf</v>
      </c>
      <c r="C619" t="str">
        <f>Hyperlink("https://www.diodes.com/part/view/DMN4026SSDQ","DMN4026SSDQ")</f>
        <v>DMN4026SSDQ</v>
      </c>
      <c r="D619" t="s">
        <v>1324</v>
      </c>
      <c r="E619" t="s">
        <v>27</v>
      </c>
      <c r="F619" t="s">
        <v>37</v>
      </c>
      <c r="G619" t="s">
        <v>40</v>
      </c>
      <c r="H619" t="s">
        <v>30</v>
      </c>
      <c r="I619">
        <v>40</v>
      </c>
      <c r="J619">
        <v>20</v>
      </c>
      <c r="K619">
        <v>7</v>
      </c>
      <c r="M619">
        <v>1.8</v>
      </c>
      <c r="O619">
        <v>24</v>
      </c>
      <c r="P619">
        <v>32</v>
      </c>
      <c r="S619">
        <v>1</v>
      </c>
      <c r="T619">
        <v>3</v>
      </c>
      <c r="U619">
        <v>8.8</v>
      </c>
      <c r="V619">
        <v>19.1</v>
      </c>
      <c r="W619">
        <v>1060</v>
      </c>
      <c r="X619">
        <v>20</v>
      </c>
      <c r="Y619" t="s">
        <v>213</v>
      </c>
    </row>
    <row r="620" spans="1:25">
      <c r="A620" t="s">
        <v>1325</v>
      </c>
      <c r="B620" s="2" t="str">
        <f>Hyperlink("https://www.diodes.com/datasheet/download/DMN4027SSD.pdf")</f>
        <v>https://www.diodes.com/datasheet/download/DMN4027SSD.pdf</v>
      </c>
      <c r="C620" t="str">
        <f>Hyperlink("https://www.diodes.com/part/view/DMN4027SSD","DMN4027SSD")</f>
        <v>DMN4027SSD</v>
      </c>
      <c r="D620" t="s">
        <v>39</v>
      </c>
      <c r="E620" t="s">
        <v>27</v>
      </c>
      <c r="F620" t="s">
        <v>28</v>
      </c>
      <c r="G620" t="s">
        <v>40</v>
      </c>
      <c r="H620" t="s">
        <v>30</v>
      </c>
      <c r="I620">
        <v>40</v>
      </c>
      <c r="J620">
        <v>20</v>
      </c>
      <c r="K620">
        <v>7.1</v>
      </c>
      <c r="M620">
        <v>2.1</v>
      </c>
      <c r="O620">
        <v>27</v>
      </c>
      <c r="P620">
        <v>47</v>
      </c>
      <c r="T620">
        <v>3</v>
      </c>
      <c r="U620">
        <v>6.3</v>
      </c>
      <c r="V620">
        <v>12.9</v>
      </c>
      <c r="W620">
        <v>604</v>
      </c>
      <c r="Y620" t="s">
        <v>213</v>
      </c>
    </row>
    <row r="621" spans="1:25">
      <c r="A621" t="s">
        <v>1326</v>
      </c>
      <c r="B621" s="2" t="str">
        <f>Hyperlink("https://www.diodes.com/datasheet/download/DMN4030LK3.pdf")</f>
        <v>https://www.diodes.com/datasheet/download/DMN4030LK3.pdf</v>
      </c>
      <c r="C621" t="str">
        <f>Hyperlink("https://www.diodes.com/part/view/DMN4030LK3","DMN4030LK3")</f>
        <v>DMN4030LK3</v>
      </c>
      <c r="D621" t="s">
        <v>26</v>
      </c>
      <c r="E621" t="s">
        <v>27</v>
      </c>
      <c r="F621" t="s">
        <v>28</v>
      </c>
      <c r="G621" t="s">
        <v>29</v>
      </c>
      <c r="H621" t="s">
        <v>30</v>
      </c>
      <c r="I621">
        <v>40</v>
      </c>
      <c r="J621">
        <v>20</v>
      </c>
      <c r="K621">
        <v>9.6</v>
      </c>
      <c r="M621">
        <v>4.18</v>
      </c>
      <c r="O621">
        <v>30</v>
      </c>
      <c r="P621">
        <v>50</v>
      </c>
      <c r="T621">
        <v>3</v>
      </c>
      <c r="U621">
        <v>6.5</v>
      </c>
      <c r="V621">
        <v>12.9</v>
      </c>
      <c r="W621">
        <v>604</v>
      </c>
      <c r="Y621" t="s">
        <v>681</v>
      </c>
    </row>
    <row r="622" spans="1:25">
      <c r="A622" t="s">
        <v>1327</v>
      </c>
      <c r="B622" s="2" t="str">
        <f>Hyperlink("https://www.diodes.com/datasheet/download/DMN4030LK3Q.pdf")</f>
        <v>https://www.diodes.com/datasheet/download/DMN4030LK3Q.pdf</v>
      </c>
      <c r="C622" t="str">
        <f>Hyperlink("https://www.diodes.com/part/view/DMN4030LK3Q","DMN4030LK3Q")</f>
        <v>DMN4030LK3Q</v>
      </c>
      <c r="D622" t="s">
        <v>1314</v>
      </c>
      <c r="E622" t="s">
        <v>27</v>
      </c>
      <c r="F622" t="s">
        <v>37</v>
      </c>
      <c r="G622" t="s">
        <v>29</v>
      </c>
      <c r="H622" t="s">
        <v>30</v>
      </c>
      <c r="I622">
        <v>40</v>
      </c>
      <c r="J622">
        <v>20</v>
      </c>
      <c r="K622">
        <v>9.6</v>
      </c>
      <c r="M622">
        <v>4.18</v>
      </c>
      <c r="O622">
        <v>30</v>
      </c>
      <c r="P622">
        <v>50</v>
      </c>
      <c r="T622">
        <v>3</v>
      </c>
      <c r="U622">
        <v>6.5</v>
      </c>
      <c r="V622">
        <v>12.9</v>
      </c>
      <c r="Y622" t="s">
        <v>681</v>
      </c>
    </row>
    <row r="623" spans="1:25">
      <c r="A623" t="s">
        <v>1328</v>
      </c>
      <c r="B623" s="2" t="str">
        <f>Hyperlink("https://www.diodes.com/datasheet/download/DMN4031SSDQ.pdf")</f>
        <v>https://www.diodes.com/datasheet/download/DMN4031SSDQ.pdf</v>
      </c>
      <c r="C623" t="str">
        <f>Hyperlink("https://www.diodes.com/part/view/DMN4031SSDQ","DMN4031SSDQ")</f>
        <v>DMN4031SSDQ</v>
      </c>
      <c r="D623" t="s">
        <v>39</v>
      </c>
      <c r="E623" t="s">
        <v>27</v>
      </c>
      <c r="F623" t="s">
        <v>37</v>
      </c>
      <c r="G623" t="s">
        <v>40</v>
      </c>
      <c r="H623" t="s">
        <v>30</v>
      </c>
      <c r="I623">
        <v>40</v>
      </c>
      <c r="J623">
        <v>20</v>
      </c>
      <c r="K623">
        <v>7</v>
      </c>
      <c r="M623">
        <v>2.6</v>
      </c>
      <c r="O623">
        <v>31</v>
      </c>
      <c r="P623">
        <v>50</v>
      </c>
      <c r="T623">
        <v>3</v>
      </c>
      <c r="U623">
        <v>8.4</v>
      </c>
      <c r="V623">
        <v>18.6</v>
      </c>
      <c r="W623">
        <v>945</v>
      </c>
      <c r="X623">
        <v>20</v>
      </c>
      <c r="Y623" t="s">
        <v>213</v>
      </c>
    </row>
    <row r="624" spans="1:25">
      <c r="A624" t="s">
        <v>1329</v>
      </c>
      <c r="B624" s="2" t="str">
        <f>Hyperlink("https://www.diodes.com/datasheet/download/DMN4034SSD.pdf")</f>
        <v>https://www.diodes.com/datasheet/download/DMN4034SSD.pdf</v>
      </c>
      <c r="C624" t="str">
        <f>Hyperlink("https://www.diodes.com/part/view/DMN4034SSD","DMN4034SSD")</f>
        <v>DMN4034SSD</v>
      </c>
      <c r="D624" t="s">
        <v>39</v>
      </c>
      <c r="E624" t="s">
        <v>27</v>
      </c>
      <c r="F624" t="s">
        <v>28</v>
      </c>
      <c r="G624" t="s">
        <v>40</v>
      </c>
      <c r="H624" t="s">
        <v>30</v>
      </c>
      <c r="I624">
        <v>40</v>
      </c>
      <c r="J624">
        <v>20</v>
      </c>
      <c r="K624">
        <v>6.3</v>
      </c>
      <c r="M624">
        <v>1.8</v>
      </c>
      <c r="O624">
        <v>34</v>
      </c>
      <c r="P624">
        <v>59</v>
      </c>
      <c r="T624">
        <v>3</v>
      </c>
      <c r="U624">
        <v>4.9</v>
      </c>
      <c r="V624">
        <v>10</v>
      </c>
      <c r="W624">
        <v>453</v>
      </c>
      <c r="Y624" t="s">
        <v>213</v>
      </c>
    </row>
    <row r="625" spans="1:25">
      <c r="A625" t="s">
        <v>1330</v>
      </c>
      <c r="B625" s="2" t="str">
        <f>Hyperlink("https://www.diodes.com/datasheet/download/DMN4034SSS.pdf")</f>
        <v>https://www.diodes.com/datasheet/download/DMN4034SSS.pdf</v>
      </c>
      <c r="C625" t="str">
        <f>Hyperlink("https://www.diodes.com/part/view/DMN4034SSS","DMN4034SSS")</f>
        <v>DMN4034SSS</v>
      </c>
      <c r="D625" t="s">
        <v>26</v>
      </c>
      <c r="E625" t="s">
        <v>27</v>
      </c>
      <c r="F625" t="s">
        <v>28</v>
      </c>
      <c r="G625" t="s">
        <v>29</v>
      </c>
      <c r="H625" t="s">
        <v>30</v>
      </c>
      <c r="I625">
        <v>40</v>
      </c>
      <c r="J625">
        <v>20</v>
      </c>
      <c r="K625">
        <v>2.8</v>
      </c>
      <c r="M625">
        <v>1.6</v>
      </c>
      <c r="O625">
        <v>34</v>
      </c>
      <c r="P625">
        <v>59</v>
      </c>
      <c r="T625">
        <v>3</v>
      </c>
      <c r="U625">
        <v>4.9</v>
      </c>
      <c r="V625">
        <v>10</v>
      </c>
      <c r="W625">
        <v>453</v>
      </c>
      <c r="Y625" t="s">
        <v>213</v>
      </c>
    </row>
    <row r="626" spans="1:25">
      <c r="A626" t="s">
        <v>1331</v>
      </c>
      <c r="B626" s="2" t="str">
        <f>Hyperlink("https://www.diodes.com/datasheet/download/DMN4034SSSQ.pdf")</f>
        <v>https://www.diodes.com/datasheet/download/DMN4034SSSQ.pdf</v>
      </c>
      <c r="C626" t="str">
        <f>Hyperlink("https://www.diodes.com/part/view/DMN4034SSSQ","DMN4034SSSQ")</f>
        <v>DMN4034SSSQ</v>
      </c>
      <c r="D626" t="s">
        <v>1314</v>
      </c>
      <c r="E626" t="s">
        <v>27</v>
      </c>
      <c r="F626" t="s">
        <v>37</v>
      </c>
      <c r="G626" t="s">
        <v>29</v>
      </c>
      <c r="H626" t="s">
        <v>30</v>
      </c>
      <c r="I626">
        <v>40</v>
      </c>
      <c r="J626">
        <v>20</v>
      </c>
      <c r="K626">
        <v>6.5</v>
      </c>
      <c r="M626">
        <v>2.1</v>
      </c>
      <c r="O626">
        <v>34</v>
      </c>
      <c r="P626">
        <v>59</v>
      </c>
      <c r="T626">
        <v>3</v>
      </c>
      <c r="U626">
        <v>7.7</v>
      </c>
      <c r="V626">
        <v>15.5</v>
      </c>
      <c r="Y626" t="s">
        <v>213</v>
      </c>
    </row>
    <row r="627" spans="1:25">
      <c r="A627" t="s">
        <v>1332</v>
      </c>
      <c r="B627" s="2" t="str">
        <f>Hyperlink("https://www.diodes.com/datasheet/download/DMN4035L.pdf")</f>
        <v>https://www.diodes.com/datasheet/download/DMN4035L.pdf</v>
      </c>
      <c r="C627" t="str">
        <f>Hyperlink("https://www.diodes.com/part/view/DMN4035L","DMN4035L")</f>
        <v>DMN4035L</v>
      </c>
      <c r="D627" t="s">
        <v>26</v>
      </c>
      <c r="E627" t="s">
        <v>27</v>
      </c>
      <c r="F627" t="s">
        <v>28</v>
      </c>
      <c r="G627" t="s">
        <v>29</v>
      </c>
      <c r="H627" t="s">
        <v>30</v>
      </c>
      <c r="I627">
        <v>40</v>
      </c>
      <c r="J627">
        <v>20</v>
      </c>
      <c r="K627">
        <v>4.6</v>
      </c>
      <c r="M627">
        <v>1.4</v>
      </c>
      <c r="O627">
        <v>42</v>
      </c>
      <c r="P627">
        <v>52</v>
      </c>
      <c r="T627">
        <v>3</v>
      </c>
      <c r="U627">
        <v>5.9</v>
      </c>
      <c r="V627">
        <v>12.5</v>
      </c>
      <c r="W627">
        <v>574</v>
      </c>
      <c r="X627">
        <v>20</v>
      </c>
      <c r="Y627" t="s">
        <v>35</v>
      </c>
    </row>
    <row r="628" spans="1:25">
      <c r="A628" t="s">
        <v>1333</v>
      </c>
      <c r="B628" s="2" t="str">
        <f>Hyperlink("https://www.diodes.com/datasheet/download/DMN4035LQ.pdf")</f>
        <v>https://www.diodes.com/datasheet/download/DMN4035LQ.pdf</v>
      </c>
      <c r="C628" t="str">
        <f>Hyperlink("https://www.diodes.com/part/view/DMN4035LQ","DMN4035LQ")</f>
        <v>DMN4035LQ</v>
      </c>
      <c r="D628" t="s">
        <v>26</v>
      </c>
      <c r="E628" t="s">
        <v>27</v>
      </c>
      <c r="F628" t="s">
        <v>37</v>
      </c>
      <c r="G628" t="s">
        <v>29</v>
      </c>
      <c r="H628" t="s">
        <v>30</v>
      </c>
      <c r="I628">
        <v>40</v>
      </c>
      <c r="J628">
        <v>20</v>
      </c>
      <c r="K628">
        <v>4.6</v>
      </c>
      <c r="M628">
        <v>1.4</v>
      </c>
      <c r="O628">
        <v>42</v>
      </c>
      <c r="P628">
        <v>52</v>
      </c>
      <c r="T628">
        <v>3</v>
      </c>
      <c r="U628">
        <v>5.9</v>
      </c>
      <c r="V628">
        <v>12.5</v>
      </c>
      <c r="W628">
        <v>574</v>
      </c>
      <c r="X628">
        <v>20</v>
      </c>
      <c r="Y628" t="s">
        <v>35</v>
      </c>
    </row>
    <row r="629" spans="1:25">
      <c r="A629" t="s">
        <v>1334</v>
      </c>
      <c r="B629" s="2" t="str">
        <f>Hyperlink("https://www.diodes.com/datasheet/download/DMN4036LK3.pdf")</f>
        <v>https://www.diodes.com/datasheet/download/DMN4036LK3.pdf</v>
      </c>
      <c r="C629" t="str">
        <f>Hyperlink("https://www.diodes.com/part/view/DMN4036LK3","DMN4036LK3")</f>
        <v>DMN4036LK3</v>
      </c>
      <c r="D629" t="s">
        <v>26</v>
      </c>
      <c r="E629" t="s">
        <v>27</v>
      </c>
      <c r="F629" t="s">
        <v>28</v>
      </c>
      <c r="G629" t="s">
        <v>29</v>
      </c>
      <c r="H629" t="s">
        <v>30</v>
      </c>
      <c r="I629">
        <v>40</v>
      </c>
      <c r="J629">
        <v>20</v>
      </c>
      <c r="K629">
        <v>8.5</v>
      </c>
      <c r="M629">
        <v>4.1</v>
      </c>
      <c r="O629">
        <v>36</v>
      </c>
      <c r="P629">
        <v>61</v>
      </c>
      <c r="T629">
        <v>3</v>
      </c>
      <c r="U629">
        <v>4.9</v>
      </c>
      <c r="V629">
        <v>9.2</v>
      </c>
      <c r="W629">
        <v>453</v>
      </c>
      <c r="Y629" t="s">
        <v>681</v>
      </c>
    </row>
    <row r="630" spans="1:25">
      <c r="A630" t="s">
        <v>1335</v>
      </c>
      <c r="B630" s="2" t="str">
        <f>Hyperlink("https://www.diodes.com/datasheet/download/DMN4060SVT.pdf")</f>
        <v>https://www.diodes.com/datasheet/download/DMN4060SVT.pdf</v>
      </c>
      <c r="C630" t="str">
        <f>Hyperlink("https://www.diodes.com/part/view/DMN4060SVT","DMN4060SVT")</f>
        <v>DMN4060SVT</v>
      </c>
      <c r="D630" t="s">
        <v>54</v>
      </c>
      <c r="E630" t="s">
        <v>27</v>
      </c>
      <c r="F630" t="s">
        <v>28</v>
      </c>
      <c r="G630" t="s">
        <v>29</v>
      </c>
      <c r="H630" t="s">
        <v>30</v>
      </c>
      <c r="I630">
        <v>45</v>
      </c>
      <c r="J630">
        <v>20</v>
      </c>
      <c r="K630">
        <v>4.8</v>
      </c>
      <c r="M630">
        <v>1.8</v>
      </c>
      <c r="O630">
        <v>46</v>
      </c>
      <c r="P630">
        <v>62</v>
      </c>
      <c r="T630">
        <v>3</v>
      </c>
      <c r="U630">
        <v>10.4</v>
      </c>
      <c r="V630">
        <v>22.4</v>
      </c>
      <c r="Y630" t="s">
        <v>183</v>
      </c>
    </row>
    <row r="631" spans="1:25">
      <c r="A631" t="s">
        <v>1336</v>
      </c>
      <c r="B631" s="2" t="str">
        <f>Hyperlink("https://www.diodes.com/datasheet/download/DMN4060SVTQ.pdf")</f>
        <v>https://www.diodes.com/datasheet/download/DMN4060SVTQ.pdf</v>
      </c>
      <c r="C631" t="str">
        <f>Hyperlink("https://www.diodes.com/part/view/DMN4060SVTQ","DMN4060SVTQ")</f>
        <v>DMN4060SVTQ</v>
      </c>
      <c r="D631" t="s">
        <v>1337</v>
      </c>
      <c r="E631" t="s">
        <v>27</v>
      </c>
      <c r="F631" t="s">
        <v>37</v>
      </c>
      <c r="G631" t="s">
        <v>29</v>
      </c>
      <c r="H631" t="s">
        <v>30</v>
      </c>
      <c r="I631">
        <v>45</v>
      </c>
      <c r="J631">
        <v>20</v>
      </c>
      <c r="K631">
        <v>4.3</v>
      </c>
      <c r="M631">
        <v>1.7</v>
      </c>
      <c r="O631">
        <v>46</v>
      </c>
      <c r="P631">
        <v>62</v>
      </c>
      <c r="S631">
        <v>1</v>
      </c>
      <c r="T631">
        <v>3</v>
      </c>
      <c r="U631">
        <v>10</v>
      </c>
      <c r="V631">
        <v>20</v>
      </c>
      <c r="W631">
        <v>1159</v>
      </c>
      <c r="X631">
        <v>25</v>
      </c>
      <c r="Y631" t="s">
        <v>183</v>
      </c>
    </row>
    <row r="632" spans="1:25">
      <c r="A632" t="s">
        <v>1338</v>
      </c>
      <c r="B632" s="2" t="str">
        <f>Hyperlink("https://www.diodes.com/datasheet/download/DMN4468LSS.pdf")</f>
        <v>https://www.diodes.com/datasheet/download/DMN4468LSS.pdf</v>
      </c>
      <c r="C632" t="str">
        <f>Hyperlink("https://www.diodes.com/part/view/DMN4468LSS","DMN4468LSS")</f>
        <v>DMN4468LSS</v>
      </c>
      <c r="D632" t="s">
        <v>26</v>
      </c>
      <c r="E632" t="s">
        <v>27</v>
      </c>
      <c r="F632" t="s">
        <v>28</v>
      </c>
      <c r="G632" t="s">
        <v>29</v>
      </c>
      <c r="H632" t="s">
        <v>30</v>
      </c>
      <c r="I632">
        <v>30</v>
      </c>
      <c r="J632">
        <v>20</v>
      </c>
      <c r="K632">
        <v>10</v>
      </c>
      <c r="M632">
        <v>1.52</v>
      </c>
      <c r="O632">
        <v>14</v>
      </c>
      <c r="P632">
        <v>20</v>
      </c>
      <c r="T632">
        <v>1.95</v>
      </c>
      <c r="V632">
        <v>18.85</v>
      </c>
      <c r="W632">
        <v>867</v>
      </c>
      <c r="Y632" t="s">
        <v>213</v>
      </c>
    </row>
    <row r="633" spans="1:25">
      <c r="A633" t="s">
        <v>1339</v>
      </c>
      <c r="B633" s="2" t="str">
        <f>Hyperlink("https://www.diodes.com/datasheet/download/DMN4800LSS.pdf")</f>
        <v>https://www.diodes.com/datasheet/download/DMN4800LSS.pdf</v>
      </c>
      <c r="C633" t="str">
        <f>Hyperlink("https://www.diodes.com/part/view/DMN4800LSS","DMN4800LSS")</f>
        <v>DMN4800LSS</v>
      </c>
      <c r="D633" t="s">
        <v>26</v>
      </c>
      <c r="E633" t="s">
        <v>27</v>
      </c>
      <c r="F633" t="s">
        <v>28</v>
      </c>
      <c r="G633" t="s">
        <v>29</v>
      </c>
      <c r="H633" t="s">
        <v>30</v>
      </c>
      <c r="I633">
        <v>30</v>
      </c>
      <c r="J633">
        <v>25</v>
      </c>
      <c r="K633">
        <v>8.6</v>
      </c>
      <c r="M633">
        <v>1.7</v>
      </c>
      <c r="O633">
        <v>14</v>
      </c>
      <c r="P633">
        <v>20</v>
      </c>
      <c r="T633">
        <v>1.6</v>
      </c>
      <c r="U633" t="s">
        <v>694</v>
      </c>
      <c r="W633">
        <v>798</v>
      </c>
      <c r="Y633" t="s">
        <v>213</v>
      </c>
    </row>
    <row r="634" spans="1:25">
      <c r="A634" t="s">
        <v>1340</v>
      </c>
      <c r="B634" s="2" t="str">
        <f>Hyperlink("https://www.diodes.com/datasheet/download/DMN4800LSSL.pdf")</f>
        <v>https://www.diodes.com/datasheet/download/DMN4800LSSL.pdf</v>
      </c>
      <c r="C634" t="str">
        <f>Hyperlink("https://www.diodes.com/part/view/DMN4800LSSL","DMN4800LSSL")</f>
        <v>DMN4800LSSL</v>
      </c>
      <c r="D634" t="s">
        <v>26</v>
      </c>
      <c r="E634" t="s">
        <v>27</v>
      </c>
      <c r="F634" t="s">
        <v>28</v>
      </c>
      <c r="G634" t="s">
        <v>29</v>
      </c>
      <c r="H634" t="s">
        <v>30</v>
      </c>
      <c r="I634">
        <v>30</v>
      </c>
      <c r="J634">
        <v>20</v>
      </c>
      <c r="K634">
        <v>8</v>
      </c>
      <c r="M634">
        <v>1.46</v>
      </c>
      <c r="O634">
        <v>14</v>
      </c>
      <c r="P634">
        <v>20</v>
      </c>
      <c r="T634">
        <v>1.6</v>
      </c>
      <c r="U634" t="s">
        <v>694</v>
      </c>
      <c r="W634">
        <v>798</v>
      </c>
      <c r="Y634" t="s">
        <v>213</v>
      </c>
    </row>
    <row r="635" spans="1:25">
      <c r="A635" t="s">
        <v>1341</v>
      </c>
      <c r="B635" s="2" t="str">
        <f>Hyperlink("https://www.diodes.com/datasheet/download/DMN4800LSSQ.pdf")</f>
        <v>https://www.diodes.com/datasheet/download/DMN4800LSSQ.pdf</v>
      </c>
      <c r="C635" t="str">
        <f>Hyperlink("https://www.diodes.com/part/view/DMN4800LSSQ","DMN4800LSSQ")</f>
        <v>DMN4800LSSQ</v>
      </c>
      <c r="D635" t="s">
        <v>666</v>
      </c>
      <c r="E635" t="s">
        <v>27</v>
      </c>
      <c r="F635" t="s">
        <v>37</v>
      </c>
      <c r="G635" t="s">
        <v>29</v>
      </c>
      <c r="H635" t="s">
        <v>30</v>
      </c>
      <c r="I635">
        <v>30</v>
      </c>
      <c r="J635">
        <v>25</v>
      </c>
      <c r="K635">
        <v>8.6</v>
      </c>
      <c r="M635">
        <v>1.7</v>
      </c>
      <c r="O635">
        <v>14</v>
      </c>
      <c r="P635">
        <v>20</v>
      </c>
      <c r="T635">
        <v>1.6</v>
      </c>
      <c r="U635" t="s">
        <v>694</v>
      </c>
      <c r="W635">
        <v>798</v>
      </c>
      <c r="X635">
        <v>10</v>
      </c>
      <c r="Y635" t="s">
        <v>213</v>
      </c>
    </row>
    <row r="636" spans="1:25">
      <c r="A636" t="s">
        <v>1342</v>
      </c>
      <c r="B636" s="2" t="str">
        <f>Hyperlink("https://www.diodes.com/datasheet/download/DMN5040LSS.pdf")</f>
        <v>https://www.diodes.com/datasheet/download/DMN5040LSS.pdf</v>
      </c>
      <c r="C636" t="str">
        <f>Hyperlink("https://www.diodes.com/part/view/DMN5040LSS","DMN5040LSS")</f>
        <v>DMN5040LSS</v>
      </c>
      <c r="D636" t="s">
        <v>105</v>
      </c>
      <c r="E636" t="s">
        <v>27</v>
      </c>
      <c r="F636" t="s">
        <v>28</v>
      </c>
      <c r="G636" t="s">
        <v>29</v>
      </c>
      <c r="H636" t="s">
        <v>30</v>
      </c>
      <c r="I636">
        <v>50</v>
      </c>
      <c r="J636">
        <v>20</v>
      </c>
      <c r="K636">
        <v>5.2</v>
      </c>
      <c r="M636">
        <v>1.6</v>
      </c>
      <c r="O636">
        <v>40</v>
      </c>
      <c r="P636">
        <v>60</v>
      </c>
      <c r="T636">
        <v>3</v>
      </c>
      <c r="U636">
        <v>6.5</v>
      </c>
      <c r="V636">
        <v>14.5</v>
      </c>
      <c r="W636">
        <v>836</v>
      </c>
      <c r="X636">
        <v>30</v>
      </c>
      <c r="Y636" t="s">
        <v>213</v>
      </c>
    </row>
    <row r="637" spans="1:25">
      <c r="A637" t="s">
        <v>1343</v>
      </c>
      <c r="B637" s="2" t="str">
        <f>Hyperlink("https://www.diodes.com/datasheet/download/DMN52D0LT.pdf")</f>
        <v>https://www.diodes.com/datasheet/download/DMN52D0LT.pdf</v>
      </c>
      <c r="C637" t="str">
        <f>Hyperlink("https://www.diodes.com/part/view/DMN52D0LT","DMN52D0LT")</f>
        <v>DMN52D0LT</v>
      </c>
      <c r="D637" t="s">
        <v>105</v>
      </c>
      <c r="E637" t="s">
        <v>30</v>
      </c>
      <c r="F637" t="s">
        <v>28</v>
      </c>
      <c r="G637" t="s">
        <v>29</v>
      </c>
      <c r="H637" t="s">
        <v>27</v>
      </c>
      <c r="I637">
        <v>50</v>
      </c>
      <c r="J637">
        <v>12</v>
      </c>
      <c r="K637" t="s">
        <v>1344</v>
      </c>
      <c r="M637">
        <v>0.5</v>
      </c>
      <c r="P637" t="s">
        <v>1345</v>
      </c>
      <c r="Q637">
        <v>2500</v>
      </c>
      <c r="R637">
        <v>4000</v>
      </c>
      <c r="S637">
        <v>0.49</v>
      </c>
      <c r="T637">
        <v>1.2</v>
      </c>
      <c r="U637">
        <v>0.8</v>
      </c>
      <c r="V637">
        <v>1.5</v>
      </c>
      <c r="W637">
        <v>40</v>
      </c>
      <c r="X637">
        <v>25</v>
      </c>
      <c r="Y637" t="s">
        <v>56</v>
      </c>
    </row>
    <row r="638" spans="1:25">
      <c r="A638" t="s">
        <v>1346</v>
      </c>
      <c r="B638" s="2" t="str">
        <f>Hyperlink("https://www.diodes.com/datasheet/download/DMN52D0U.pdf")</f>
        <v>https://www.diodes.com/datasheet/download/DMN52D0U.pdf</v>
      </c>
      <c r="C638" t="str">
        <f>Hyperlink("https://www.diodes.com/part/view/DMN52D0U","DMN52D0U")</f>
        <v>DMN52D0U</v>
      </c>
      <c r="D638" t="s">
        <v>1347</v>
      </c>
      <c r="E638" t="s">
        <v>27</v>
      </c>
      <c r="F638" t="s">
        <v>28</v>
      </c>
      <c r="G638" t="s">
        <v>29</v>
      </c>
      <c r="H638" t="s">
        <v>27</v>
      </c>
      <c r="I638">
        <v>50</v>
      </c>
      <c r="J638">
        <v>12</v>
      </c>
      <c r="K638" t="s">
        <v>1348</v>
      </c>
      <c r="M638">
        <v>0.7</v>
      </c>
      <c r="P638" t="s">
        <v>1345</v>
      </c>
      <c r="Q638">
        <v>2500</v>
      </c>
      <c r="R638">
        <v>4000</v>
      </c>
      <c r="S638">
        <v>0.49</v>
      </c>
      <c r="T638">
        <v>1</v>
      </c>
      <c r="U638">
        <v>0.8</v>
      </c>
      <c r="V638">
        <v>1.5</v>
      </c>
      <c r="W638">
        <v>39</v>
      </c>
      <c r="X638">
        <v>25</v>
      </c>
      <c r="Y638" t="s">
        <v>35</v>
      </c>
    </row>
    <row r="639" spans="1:25">
      <c r="A639" t="s">
        <v>1349</v>
      </c>
      <c r="B639" s="2" t="str">
        <f>Hyperlink("https://www.diodes.com/datasheet/download/DMN52D0UDM.pdf")</f>
        <v>https://www.diodes.com/datasheet/download/DMN52D0UDM.pdf</v>
      </c>
      <c r="C639" t="str">
        <f>Hyperlink("https://www.diodes.com/part/view/DMN52D0UDM","DMN52D0UDM")</f>
        <v>DMN52D0UDM</v>
      </c>
      <c r="D639" t="s">
        <v>1347</v>
      </c>
      <c r="E639" t="s">
        <v>30</v>
      </c>
      <c r="F639" t="s">
        <v>28</v>
      </c>
      <c r="G639" t="s">
        <v>40</v>
      </c>
      <c r="H639" t="s">
        <v>27</v>
      </c>
      <c r="I639">
        <v>50</v>
      </c>
      <c r="J639">
        <v>12</v>
      </c>
      <c r="K639" t="s">
        <v>1350</v>
      </c>
      <c r="M639">
        <v>0.74</v>
      </c>
      <c r="P639" t="s">
        <v>1351</v>
      </c>
      <c r="Q639">
        <v>2500</v>
      </c>
      <c r="R639">
        <v>4000</v>
      </c>
      <c r="S639">
        <v>0.49</v>
      </c>
      <c r="T639">
        <v>1</v>
      </c>
      <c r="U639">
        <v>0.9</v>
      </c>
      <c r="V639">
        <v>1.6</v>
      </c>
      <c r="W639">
        <v>42.4</v>
      </c>
      <c r="X639">
        <v>25</v>
      </c>
      <c r="Y639" t="s">
        <v>339</v>
      </c>
    </row>
    <row r="640" spans="1:25">
      <c r="A640" t="s">
        <v>1352</v>
      </c>
      <c r="B640" s="2" t="str">
        <f>Hyperlink("https://www.diodes.com/datasheet/download/DMN52D0UDMQ.pdf")</f>
        <v>https://www.diodes.com/datasheet/download/DMN52D0UDMQ.pdf</v>
      </c>
      <c r="C640" t="str">
        <f>Hyperlink("https://www.diodes.com/part/view/DMN52D0UDMQ","DMN52D0UDMQ")</f>
        <v>DMN52D0UDMQ</v>
      </c>
      <c r="D640" t="s">
        <v>1347</v>
      </c>
      <c r="E640" t="s">
        <v>27</v>
      </c>
      <c r="F640" t="s">
        <v>37</v>
      </c>
      <c r="G640" t="s">
        <v>40</v>
      </c>
      <c r="H640" t="s">
        <v>27</v>
      </c>
      <c r="I640">
        <v>50</v>
      </c>
      <c r="J640">
        <v>12</v>
      </c>
      <c r="K640" t="s">
        <v>1350</v>
      </c>
      <c r="M640">
        <v>0.74</v>
      </c>
      <c r="P640" t="s">
        <v>1351</v>
      </c>
      <c r="Q640">
        <v>2500</v>
      </c>
      <c r="R640">
        <v>4000</v>
      </c>
      <c r="S640">
        <v>0.49</v>
      </c>
      <c r="T640">
        <v>1</v>
      </c>
      <c r="U640">
        <v>0.9</v>
      </c>
      <c r="V640">
        <v>1.6</v>
      </c>
      <c r="W640">
        <v>42.4</v>
      </c>
      <c r="X640">
        <v>25</v>
      </c>
      <c r="Y640" t="s">
        <v>339</v>
      </c>
    </row>
    <row r="641" spans="1:25">
      <c r="A641" t="s">
        <v>1353</v>
      </c>
      <c r="B641" s="2" t="str">
        <f>Hyperlink("https://www.diodes.com/datasheet/download/DMN52D0UDW.pdf")</f>
        <v>https://www.diodes.com/datasheet/download/DMN52D0UDW.pdf</v>
      </c>
      <c r="C641" t="str">
        <f>Hyperlink("https://www.diodes.com/part/view/DMN52D0UDW","DMN52D0UDW")</f>
        <v>DMN52D0UDW</v>
      </c>
      <c r="D641" t="s">
        <v>1347</v>
      </c>
      <c r="E641" t="s">
        <v>30</v>
      </c>
      <c r="F641" t="s">
        <v>28</v>
      </c>
      <c r="G641" t="s">
        <v>40</v>
      </c>
      <c r="H641" t="s">
        <v>27</v>
      </c>
      <c r="I641">
        <v>50</v>
      </c>
      <c r="J641">
        <v>12</v>
      </c>
      <c r="K641" t="s">
        <v>1354</v>
      </c>
      <c r="M641">
        <v>0.5</v>
      </c>
      <c r="P641" t="s">
        <v>1355</v>
      </c>
      <c r="Q641">
        <v>2500</v>
      </c>
      <c r="R641">
        <v>4000</v>
      </c>
      <c r="S641">
        <v>0.49</v>
      </c>
      <c r="T641">
        <v>1</v>
      </c>
      <c r="U641">
        <v>0.7</v>
      </c>
      <c r="V641">
        <v>1.5</v>
      </c>
      <c r="W641">
        <v>42.3</v>
      </c>
      <c r="X641">
        <v>25</v>
      </c>
      <c r="Y641" t="s">
        <v>42</v>
      </c>
    </row>
    <row r="642" spans="1:25">
      <c r="A642" t="s">
        <v>1356</v>
      </c>
      <c r="B642" s="2" t="str">
        <f>Hyperlink("https://www.diodes.com/datasheet/download/DMN52D0UDWQ.pdf")</f>
        <v>https://www.diodes.com/datasheet/download/DMN52D0UDWQ.pdf</v>
      </c>
      <c r="C642" t="str">
        <f>Hyperlink("https://www.diodes.com/part/view/DMN52D0UDWQ","DMN52D0UDWQ")</f>
        <v>DMN52D0UDWQ</v>
      </c>
      <c r="D642" t="s">
        <v>1347</v>
      </c>
      <c r="E642" t="s">
        <v>27</v>
      </c>
      <c r="F642" t="s">
        <v>37</v>
      </c>
      <c r="G642" t="s">
        <v>40</v>
      </c>
      <c r="H642" t="s">
        <v>27</v>
      </c>
      <c r="I642">
        <v>50</v>
      </c>
      <c r="J642">
        <v>12</v>
      </c>
      <c r="K642" t="s">
        <v>1354</v>
      </c>
      <c r="M642">
        <v>0.5</v>
      </c>
      <c r="P642" t="s">
        <v>1355</v>
      </c>
      <c r="Q642">
        <v>2500</v>
      </c>
      <c r="R642">
        <v>4000</v>
      </c>
      <c r="S642">
        <v>0.49</v>
      </c>
      <c r="T642">
        <v>1</v>
      </c>
      <c r="U642">
        <v>0.7</v>
      </c>
      <c r="V642">
        <v>1.5</v>
      </c>
      <c r="W642">
        <v>42.3</v>
      </c>
      <c r="X642">
        <v>25</v>
      </c>
      <c r="Y642" t="s">
        <v>42</v>
      </c>
    </row>
    <row r="643" spans="1:25">
      <c r="A643" t="s">
        <v>1357</v>
      </c>
      <c r="B643" s="2" t="str">
        <f>Hyperlink("https://www.diodes.com/datasheet/download/DMN52D0UQ.pdf")</f>
        <v>https://www.diodes.com/datasheet/download/DMN52D0UQ.pdf</v>
      </c>
      <c r="C643" t="str">
        <f>Hyperlink("https://www.diodes.com/part/view/DMN52D0UQ","DMN52D0UQ")</f>
        <v>DMN52D0UQ</v>
      </c>
      <c r="D643" t="s">
        <v>1347</v>
      </c>
      <c r="E643" t="s">
        <v>27</v>
      </c>
      <c r="F643" t="s">
        <v>37</v>
      </c>
      <c r="G643" t="s">
        <v>29</v>
      </c>
      <c r="H643" t="s">
        <v>27</v>
      </c>
      <c r="I643">
        <v>50</v>
      </c>
      <c r="J643">
        <v>12</v>
      </c>
      <c r="K643" t="s">
        <v>1358</v>
      </c>
      <c r="M643">
        <v>0.7</v>
      </c>
      <c r="P643" t="s">
        <v>1345</v>
      </c>
      <c r="Q643">
        <v>2500</v>
      </c>
      <c r="R643">
        <v>4000</v>
      </c>
      <c r="S643">
        <v>0.49</v>
      </c>
      <c r="T643">
        <v>1</v>
      </c>
      <c r="U643">
        <v>0.8</v>
      </c>
      <c r="V643">
        <v>1.5</v>
      </c>
      <c r="W643">
        <v>39</v>
      </c>
      <c r="X643">
        <v>25</v>
      </c>
      <c r="Y643" t="s">
        <v>35</v>
      </c>
    </row>
    <row r="644" spans="1:25">
      <c r="A644" t="s">
        <v>1359</v>
      </c>
      <c r="B644" s="2" t="str">
        <f>Hyperlink("https://www.diodes.com/datasheet/download/DMN52D0UV.pdf")</f>
        <v>https://www.diodes.com/datasheet/download/DMN52D0UV.pdf</v>
      </c>
      <c r="C644" t="str">
        <f>Hyperlink("https://www.diodes.com/part/view/DMN52D0UV","DMN52D0UV")</f>
        <v>DMN52D0UV</v>
      </c>
      <c r="D644" t="s">
        <v>105</v>
      </c>
      <c r="E644" t="s">
        <v>30</v>
      </c>
      <c r="F644" t="s">
        <v>28</v>
      </c>
      <c r="G644" t="s">
        <v>40</v>
      </c>
      <c r="H644" t="s">
        <v>27</v>
      </c>
      <c r="I644">
        <v>50</v>
      </c>
      <c r="J644">
        <v>12</v>
      </c>
      <c r="K644" t="s">
        <v>1360</v>
      </c>
      <c r="M644">
        <v>0.89</v>
      </c>
      <c r="P644" t="s">
        <v>1345</v>
      </c>
      <c r="Q644">
        <v>2500</v>
      </c>
      <c r="R644">
        <v>4000</v>
      </c>
      <c r="S644">
        <v>0.49</v>
      </c>
      <c r="T644">
        <v>1</v>
      </c>
      <c r="U644">
        <v>0.8</v>
      </c>
      <c r="V644">
        <v>1.5</v>
      </c>
      <c r="W644">
        <v>39</v>
      </c>
      <c r="X644">
        <v>25</v>
      </c>
      <c r="Y644" t="s">
        <v>60</v>
      </c>
    </row>
    <row r="645" spans="1:25">
      <c r="A645" t="s">
        <v>1361</v>
      </c>
      <c r="B645" s="2" t="str">
        <f>Hyperlink("https://www.diodes.com/datasheet/download/DMN52D0UVA.pdf")</f>
        <v>https://www.diodes.com/datasheet/download/DMN52D0UVA.pdf</v>
      </c>
      <c r="C645" t="str">
        <f>Hyperlink("https://www.diodes.com/part/view/DMN52D0UVA","DMN52D0UVA")</f>
        <v>DMN52D0UVA</v>
      </c>
      <c r="D645" t="s">
        <v>1362</v>
      </c>
      <c r="E645" t="s">
        <v>30</v>
      </c>
      <c r="F645" t="s">
        <v>28</v>
      </c>
      <c r="G645" t="s">
        <v>40</v>
      </c>
      <c r="H645" t="s">
        <v>27</v>
      </c>
      <c r="I645">
        <v>50</v>
      </c>
      <c r="J645">
        <v>12</v>
      </c>
      <c r="K645" t="s">
        <v>1360</v>
      </c>
      <c r="M645">
        <v>0.89</v>
      </c>
      <c r="P645" t="s">
        <v>1345</v>
      </c>
      <c r="Q645">
        <v>2500</v>
      </c>
      <c r="R645">
        <v>4000</v>
      </c>
      <c r="S645">
        <v>0.49</v>
      </c>
      <c r="T645">
        <v>1</v>
      </c>
      <c r="U645">
        <v>0.8</v>
      </c>
      <c r="V645">
        <v>1.5</v>
      </c>
      <c r="W645">
        <v>39</v>
      </c>
      <c r="X645">
        <v>25</v>
      </c>
      <c r="Y645" t="s">
        <v>60</v>
      </c>
    </row>
    <row r="646" spans="1:25">
      <c r="A646" t="s">
        <v>1363</v>
      </c>
      <c r="B646" s="2" t="str">
        <f>Hyperlink("https://www.diodes.com/datasheet/download/DMN52D0UVQ.pdf")</f>
        <v>https://www.diodes.com/datasheet/download/DMN52D0UVQ.pdf</v>
      </c>
      <c r="C646" t="str">
        <f>Hyperlink("https://www.diodes.com/part/view/DMN52D0UVQ","DMN52D0UVQ")</f>
        <v>DMN52D0UVQ</v>
      </c>
      <c r="D646" t="s">
        <v>1347</v>
      </c>
      <c r="E646" t="s">
        <v>27</v>
      </c>
      <c r="F646" t="s">
        <v>37</v>
      </c>
      <c r="G646" t="s">
        <v>40</v>
      </c>
      <c r="H646" t="s">
        <v>27</v>
      </c>
      <c r="I646">
        <v>50</v>
      </c>
      <c r="J646">
        <v>12</v>
      </c>
      <c r="K646" t="s">
        <v>1364</v>
      </c>
      <c r="M646">
        <v>0.89</v>
      </c>
      <c r="P646" t="s">
        <v>1351</v>
      </c>
      <c r="Q646">
        <v>2500</v>
      </c>
      <c r="R646">
        <v>4000</v>
      </c>
      <c r="S646">
        <v>0.49</v>
      </c>
      <c r="T646">
        <v>1</v>
      </c>
      <c r="U646">
        <v>0.8</v>
      </c>
      <c r="V646">
        <v>1.5</v>
      </c>
      <c r="W646">
        <v>39</v>
      </c>
      <c r="X646">
        <v>25</v>
      </c>
      <c r="Y646" t="s">
        <v>60</v>
      </c>
    </row>
    <row r="647" spans="1:25">
      <c r="A647" t="s">
        <v>1365</v>
      </c>
      <c r="B647" s="2" t="str">
        <f>Hyperlink("https://www.diodes.com/datasheet/download/DMN52D0UVT.pdf")</f>
        <v>https://www.diodes.com/datasheet/download/DMN52D0UVT.pdf</v>
      </c>
      <c r="C647" t="str">
        <f>Hyperlink("https://www.diodes.com/part/view/DMN52D0UVT","DMN52D0UVT")</f>
        <v>DMN52D0UVT</v>
      </c>
      <c r="D647" t="s">
        <v>1347</v>
      </c>
      <c r="E647" t="s">
        <v>30</v>
      </c>
      <c r="F647" t="s">
        <v>28</v>
      </c>
      <c r="G647" t="s">
        <v>40</v>
      </c>
      <c r="H647" t="s">
        <v>27</v>
      </c>
      <c r="I647">
        <v>50</v>
      </c>
      <c r="J647">
        <v>12</v>
      </c>
      <c r="K647" t="s">
        <v>1366</v>
      </c>
      <c r="M647">
        <v>0.7</v>
      </c>
      <c r="P647" t="s">
        <v>1351</v>
      </c>
      <c r="Q647">
        <v>2500</v>
      </c>
      <c r="R647">
        <v>4000</v>
      </c>
      <c r="S647">
        <v>0.49</v>
      </c>
      <c r="T647">
        <v>1</v>
      </c>
      <c r="U647">
        <v>0.7</v>
      </c>
      <c r="V647">
        <v>1.4</v>
      </c>
      <c r="W647">
        <v>41</v>
      </c>
      <c r="X647">
        <v>25</v>
      </c>
      <c r="Y647" t="s">
        <v>183</v>
      </c>
    </row>
    <row r="648" spans="1:25">
      <c r="A648" t="s">
        <v>1367</v>
      </c>
      <c r="B648" s="2" t="str">
        <f>Hyperlink("https://www.diodes.com/datasheet/download/DMN52D0UVTQ.pdf")</f>
        <v>https://www.diodes.com/datasheet/download/DMN52D0UVTQ.pdf</v>
      </c>
      <c r="C648" t="str">
        <f>Hyperlink("https://www.diodes.com/part/view/DMN52D0UVTQ","DMN52D0UVTQ")</f>
        <v>DMN52D0UVTQ</v>
      </c>
      <c r="D648" t="s">
        <v>1347</v>
      </c>
      <c r="E648" t="s">
        <v>27</v>
      </c>
      <c r="F648" t="s">
        <v>37</v>
      </c>
      <c r="G648" t="s">
        <v>40</v>
      </c>
      <c r="H648" t="s">
        <v>27</v>
      </c>
      <c r="I648">
        <v>50</v>
      </c>
      <c r="J648">
        <v>12</v>
      </c>
      <c r="K648" t="s">
        <v>1366</v>
      </c>
      <c r="M648">
        <v>0.7</v>
      </c>
      <c r="P648" t="s">
        <v>1351</v>
      </c>
      <c r="Q648">
        <v>2500</v>
      </c>
      <c r="R648">
        <v>4000</v>
      </c>
      <c r="S648">
        <v>0.49</v>
      </c>
      <c r="T648">
        <v>1</v>
      </c>
      <c r="U648">
        <v>0.7</v>
      </c>
      <c r="V648">
        <v>1.4</v>
      </c>
      <c r="W648">
        <v>41</v>
      </c>
      <c r="X648">
        <v>25</v>
      </c>
      <c r="Y648" t="s">
        <v>183</v>
      </c>
    </row>
    <row r="649" spans="1:25">
      <c r="A649" t="s">
        <v>1368</v>
      </c>
      <c r="B649" s="2" t="str">
        <f>Hyperlink("https://www.diodes.com/datasheet/download/DMN52D0UW.pdf")</f>
        <v>https://www.diodes.com/datasheet/download/DMN52D0UW.pdf</v>
      </c>
      <c r="C649" t="str">
        <f>Hyperlink("https://www.diodes.com/part/view/DMN52D0UW","DMN52D0UW")</f>
        <v>DMN52D0UW</v>
      </c>
      <c r="D649" t="s">
        <v>1347</v>
      </c>
      <c r="E649" t="s">
        <v>30</v>
      </c>
      <c r="F649" t="s">
        <v>28</v>
      </c>
      <c r="G649" t="s">
        <v>29</v>
      </c>
      <c r="H649" t="s">
        <v>27</v>
      </c>
      <c r="I649">
        <v>50</v>
      </c>
      <c r="J649">
        <v>12</v>
      </c>
      <c r="K649" t="s">
        <v>1369</v>
      </c>
      <c r="M649">
        <v>0.6</v>
      </c>
      <c r="P649" t="s">
        <v>1355</v>
      </c>
      <c r="Q649">
        <v>2500</v>
      </c>
      <c r="R649">
        <v>4000</v>
      </c>
      <c r="S649">
        <v>0.49</v>
      </c>
      <c r="T649">
        <v>1</v>
      </c>
      <c r="U649">
        <v>0.8</v>
      </c>
      <c r="V649">
        <v>1.4</v>
      </c>
      <c r="W649">
        <v>39</v>
      </c>
      <c r="X649">
        <v>25</v>
      </c>
      <c r="Y649" t="s">
        <v>92</v>
      </c>
    </row>
    <row r="650" spans="1:25">
      <c r="A650" t="s">
        <v>1370</v>
      </c>
      <c r="B650" s="2" t="str">
        <f>Hyperlink("https://www.diodes.com/datasheet/download/DMN52D0UWQ.pdf")</f>
        <v>https://www.diodes.com/datasheet/download/DMN52D0UWQ.pdf</v>
      </c>
      <c r="C650" t="str">
        <f>Hyperlink("https://www.diodes.com/part/view/DMN52D0UWQ","DMN52D0UWQ")</f>
        <v>DMN52D0UWQ</v>
      </c>
      <c r="D650" t="s">
        <v>1347</v>
      </c>
      <c r="E650" t="s">
        <v>27</v>
      </c>
      <c r="F650" t="s">
        <v>37</v>
      </c>
      <c r="G650" t="s">
        <v>29</v>
      </c>
      <c r="H650" t="s">
        <v>27</v>
      </c>
      <c r="I650">
        <v>50</v>
      </c>
      <c r="J650">
        <v>12</v>
      </c>
      <c r="K650" t="s">
        <v>1369</v>
      </c>
      <c r="M650">
        <v>0.6</v>
      </c>
      <c r="P650" t="s">
        <v>1355</v>
      </c>
      <c r="Q650">
        <v>2500</v>
      </c>
      <c r="R650">
        <v>4000</v>
      </c>
      <c r="S650">
        <v>0.49</v>
      </c>
      <c r="T650">
        <v>1</v>
      </c>
      <c r="U650">
        <v>0.8</v>
      </c>
      <c r="V650">
        <v>1.4</v>
      </c>
      <c r="W650">
        <v>39</v>
      </c>
      <c r="X650">
        <v>25</v>
      </c>
      <c r="Y650" t="s">
        <v>92</v>
      </c>
    </row>
    <row r="651" spans="1:25">
      <c r="A651" t="s">
        <v>1371</v>
      </c>
      <c r="B651" s="2" t="str">
        <f>Hyperlink("https://www.diodes.com/datasheet/download/DMN53D0L.pdf")</f>
        <v>https://www.diodes.com/datasheet/download/DMN53D0L.pdf</v>
      </c>
      <c r="C651" t="str">
        <f>Hyperlink("https://www.diodes.com/part/view/DMN53D0L","DMN53D0L")</f>
        <v>DMN53D0L</v>
      </c>
      <c r="D651" t="s">
        <v>26</v>
      </c>
      <c r="E651" t="s">
        <v>27</v>
      </c>
      <c r="F651" t="s">
        <v>28</v>
      </c>
      <c r="G651" t="s">
        <v>29</v>
      </c>
      <c r="H651" t="s">
        <v>27</v>
      </c>
      <c r="I651">
        <v>50</v>
      </c>
      <c r="J651">
        <v>20</v>
      </c>
      <c r="K651">
        <v>0.5</v>
      </c>
      <c r="M651">
        <v>0.54</v>
      </c>
      <c r="O651">
        <v>1600</v>
      </c>
      <c r="P651">
        <v>2500</v>
      </c>
      <c r="Q651">
        <v>4500</v>
      </c>
      <c r="T651">
        <v>1.5</v>
      </c>
      <c r="U651">
        <v>0.6</v>
      </c>
      <c r="W651">
        <v>46</v>
      </c>
      <c r="Y651" t="s">
        <v>35</v>
      </c>
    </row>
    <row r="652" spans="1:25">
      <c r="A652" t="s">
        <v>1372</v>
      </c>
      <c r="B652" s="2" t="str">
        <f>Hyperlink("https://www.diodes.com/datasheet/download/DMN53D0LDW.pdf")</f>
        <v>https://www.diodes.com/datasheet/download/DMN53D0LDW.pdf</v>
      </c>
      <c r="C652" t="str">
        <f>Hyperlink("https://www.diodes.com/part/view/DMN53D0LDW","DMN53D0LDW")</f>
        <v>DMN53D0LDW</v>
      </c>
      <c r="D652" t="s">
        <v>39</v>
      </c>
      <c r="E652" t="s">
        <v>27</v>
      </c>
      <c r="F652" t="s">
        <v>28</v>
      </c>
      <c r="G652" t="s">
        <v>40</v>
      </c>
      <c r="H652" t="s">
        <v>27</v>
      </c>
      <c r="I652">
        <v>50</v>
      </c>
      <c r="J652">
        <v>20</v>
      </c>
      <c r="K652">
        <v>0.36</v>
      </c>
      <c r="M652">
        <v>0.31</v>
      </c>
      <c r="O652">
        <v>1600</v>
      </c>
      <c r="P652">
        <v>2500</v>
      </c>
      <c r="Q652">
        <v>4500</v>
      </c>
      <c r="T652">
        <v>1.5</v>
      </c>
      <c r="U652">
        <v>0.6</v>
      </c>
      <c r="W652">
        <v>46</v>
      </c>
      <c r="Y652" t="s">
        <v>42</v>
      </c>
    </row>
    <row r="653" spans="1:25">
      <c r="A653" t="s">
        <v>1373</v>
      </c>
      <c r="B653" s="2" t="str">
        <f>Hyperlink("https://www.diodes.com/datasheet/download/DMN53D0LDWQ.pdf")</f>
        <v>https://www.diodes.com/datasheet/download/DMN53D0LDWQ.pdf</v>
      </c>
      <c r="C653" t="str">
        <f>Hyperlink("https://www.diodes.com/part/view/DMN53D0LDWQ","DMN53D0LDWQ")</f>
        <v>DMN53D0LDWQ</v>
      </c>
      <c r="D653" t="s">
        <v>1374</v>
      </c>
      <c r="E653" t="s">
        <v>27</v>
      </c>
      <c r="F653" t="s">
        <v>37</v>
      </c>
      <c r="G653" t="s">
        <v>40</v>
      </c>
      <c r="H653" t="s">
        <v>27</v>
      </c>
      <c r="I653">
        <v>50</v>
      </c>
      <c r="J653">
        <v>20</v>
      </c>
      <c r="K653">
        <v>0.46</v>
      </c>
      <c r="M653">
        <v>0.5</v>
      </c>
      <c r="O653">
        <v>1600</v>
      </c>
      <c r="P653">
        <v>2500</v>
      </c>
      <c r="Q653">
        <v>4500</v>
      </c>
      <c r="T653">
        <v>1.5</v>
      </c>
      <c r="U653">
        <v>0.7</v>
      </c>
      <c r="V653">
        <v>1.4</v>
      </c>
      <c r="W653">
        <v>49.5</v>
      </c>
      <c r="X653">
        <v>25</v>
      </c>
      <c r="Y653" t="s">
        <v>42</v>
      </c>
    </row>
    <row r="654" spans="1:25">
      <c r="A654" t="s">
        <v>1375</v>
      </c>
      <c r="B654" s="2" t="str">
        <f>Hyperlink("https://www.diodes.com/datasheet/download/DMN53D0LQ.pdf")</f>
        <v>https://www.diodes.com/datasheet/download/DMN53D0LQ.pdf</v>
      </c>
      <c r="C654" t="str">
        <f>Hyperlink("https://www.diodes.com/part/view/DMN53D0LQ","DMN53D0LQ")</f>
        <v>DMN53D0LQ</v>
      </c>
      <c r="D654" t="s">
        <v>26</v>
      </c>
      <c r="E654" t="s">
        <v>27</v>
      </c>
      <c r="F654" t="s">
        <v>37</v>
      </c>
      <c r="G654" t="s">
        <v>29</v>
      </c>
      <c r="H654" t="s">
        <v>27</v>
      </c>
      <c r="I654">
        <v>50</v>
      </c>
      <c r="J654">
        <v>20</v>
      </c>
      <c r="K654">
        <v>0.5</v>
      </c>
      <c r="M654">
        <v>0.54</v>
      </c>
      <c r="O654">
        <v>1600</v>
      </c>
      <c r="P654">
        <v>2500</v>
      </c>
      <c r="Q654">
        <v>4500</v>
      </c>
      <c r="T654">
        <v>1.5</v>
      </c>
      <c r="U654">
        <v>0.6</v>
      </c>
      <c r="W654">
        <v>46</v>
      </c>
      <c r="X654">
        <v>25</v>
      </c>
      <c r="Y654" t="s">
        <v>35</v>
      </c>
    </row>
    <row r="655" spans="1:25">
      <c r="A655" t="s">
        <v>1376</v>
      </c>
      <c r="B655" s="2" t="str">
        <f>Hyperlink("https://www.diodes.com/datasheet/download/DMN53D0LT.pdf")</f>
        <v>https://www.diodes.com/datasheet/download/DMN53D0LT.pdf</v>
      </c>
      <c r="C655" t="str">
        <f>Hyperlink("https://www.diodes.com/part/view/DMN53D0LT","DMN53D0LT")</f>
        <v>DMN53D0LT</v>
      </c>
      <c r="D655" t="s">
        <v>26</v>
      </c>
      <c r="E655" t="s">
        <v>27</v>
      </c>
      <c r="F655" t="s">
        <v>28</v>
      </c>
      <c r="G655" t="s">
        <v>29</v>
      </c>
      <c r="H655" t="s">
        <v>27</v>
      </c>
      <c r="I655">
        <v>50</v>
      </c>
      <c r="J655">
        <v>20</v>
      </c>
      <c r="K655">
        <v>0.35</v>
      </c>
      <c r="M655">
        <v>0.3</v>
      </c>
      <c r="O655">
        <v>1600</v>
      </c>
      <c r="P655">
        <v>2500</v>
      </c>
      <c r="Q655">
        <v>4500</v>
      </c>
      <c r="T655">
        <v>1.5</v>
      </c>
      <c r="U655">
        <v>0.6</v>
      </c>
      <c r="W655">
        <v>46</v>
      </c>
      <c r="Y655" t="s">
        <v>56</v>
      </c>
    </row>
    <row r="656" spans="1:25">
      <c r="A656" t="s">
        <v>1377</v>
      </c>
      <c r="B656" s="2" t="str">
        <f>Hyperlink("https://www.diodes.com/datasheet/download/DMN53D0LTQ.pdf")</f>
        <v>https://www.diodes.com/datasheet/download/DMN53D0LTQ.pdf</v>
      </c>
      <c r="C656" t="str">
        <f>Hyperlink("https://www.diodes.com/part/view/DMN53D0LTQ","DMN53D0LTQ")</f>
        <v>DMN53D0LTQ</v>
      </c>
      <c r="D656" t="s">
        <v>54</v>
      </c>
      <c r="E656" t="s">
        <v>27</v>
      </c>
      <c r="F656" t="s">
        <v>37</v>
      </c>
      <c r="G656" t="s">
        <v>29</v>
      </c>
      <c r="H656" t="s">
        <v>27</v>
      </c>
      <c r="I656">
        <v>50</v>
      </c>
      <c r="J656">
        <v>20</v>
      </c>
      <c r="K656">
        <v>0.35</v>
      </c>
      <c r="M656">
        <v>0.3</v>
      </c>
      <c r="O656">
        <v>1600</v>
      </c>
      <c r="P656">
        <v>2500</v>
      </c>
      <c r="Q656">
        <v>4500</v>
      </c>
      <c r="S656">
        <v>0.8</v>
      </c>
      <c r="T656">
        <v>1.5</v>
      </c>
      <c r="U656">
        <v>0.6</v>
      </c>
      <c r="V656">
        <v>1.4</v>
      </c>
      <c r="W656">
        <v>46</v>
      </c>
      <c r="X656">
        <v>25</v>
      </c>
      <c r="Y656" t="s">
        <v>56</v>
      </c>
    </row>
    <row r="657" spans="1:25">
      <c r="A657" t="s">
        <v>1378</v>
      </c>
      <c r="B657" s="2" t="str">
        <f>Hyperlink("https://www.diodes.com/datasheet/download/DMN53D0LV.pdf")</f>
        <v>https://www.diodes.com/datasheet/download/DMN53D0LV.pdf</v>
      </c>
      <c r="C657" t="str">
        <f>Hyperlink("https://www.diodes.com/part/view/DMN53D0LV","DMN53D0LV")</f>
        <v>DMN53D0LV</v>
      </c>
      <c r="D657" t="s">
        <v>39</v>
      </c>
      <c r="E657" t="s">
        <v>27</v>
      </c>
      <c r="F657" t="s">
        <v>28</v>
      </c>
      <c r="G657" t="s">
        <v>40</v>
      </c>
      <c r="H657" t="s">
        <v>27</v>
      </c>
      <c r="I657">
        <v>50</v>
      </c>
      <c r="J657">
        <v>20</v>
      </c>
      <c r="K657">
        <v>0.35</v>
      </c>
      <c r="M657">
        <v>0.43</v>
      </c>
      <c r="O657">
        <v>1600</v>
      </c>
      <c r="P657">
        <v>2500</v>
      </c>
      <c r="Q657">
        <v>4500</v>
      </c>
      <c r="T657">
        <v>1.5</v>
      </c>
      <c r="U657">
        <v>0.6</v>
      </c>
      <c r="W657">
        <v>46</v>
      </c>
      <c r="Y657" t="s">
        <v>60</v>
      </c>
    </row>
    <row r="658" spans="1:25">
      <c r="A658" t="s">
        <v>1379</v>
      </c>
      <c r="B658" s="2" t="str">
        <f>Hyperlink("https://www.diodes.com/datasheet/download/DMN53D0LW.pdf")</f>
        <v>https://www.diodes.com/datasheet/download/DMN53D0LW.pdf</v>
      </c>
      <c r="C658" t="str">
        <f>Hyperlink("https://www.diodes.com/part/view/DMN53D0LW","DMN53D0LW")</f>
        <v>DMN53D0LW</v>
      </c>
      <c r="D658" t="s">
        <v>26</v>
      </c>
      <c r="E658" t="s">
        <v>27</v>
      </c>
      <c r="F658" t="s">
        <v>28</v>
      </c>
      <c r="G658" t="s">
        <v>29</v>
      </c>
      <c r="H658" t="s">
        <v>30</v>
      </c>
      <c r="I658">
        <v>50</v>
      </c>
      <c r="J658">
        <v>20</v>
      </c>
      <c r="K658">
        <v>0.36</v>
      </c>
      <c r="M658">
        <v>0.42</v>
      </c>
      <c r="O658">
        <v>2000</v>
      </c>
      <c r="P658" t="s">
        <v>1380</v>
      </c>
      <c r="T658">
        <v>1.5</v>
      </c>
      <c r="U658">
        <v>0.6</v>
      </c>
      <c r="V658">
        <v>1.2</v>
      </c>
      <c r="W658">
        <v>45.8</v>
      </c>
      <c r="Y658" t="s">
        <v>63</v>
      </c>
    </row>
    <row r="659" spans="1:25">
      <c r="A659" t="s">
        <v>1381</v>
      </c>
      <c r="B659" s="2" t="str">
        <f>Hyperlink("https://www.diodes.com/datasheet/download/DMN53D0U.pdf")</f>
        <v>https://www.diodes.com/datasheet/download/DMN53D0U.pdf</v>
      </c>
      <c r="C659" t="str">
        <f>Hyperlink("https://www.diodes.com/part/view/DMN53D0U","DMN53D0U")</f>
        <v>DMN53D0U</v>
      </c>
      <c r="D659" t="s">
        <v>26</v>
      </c>
      <c r="E659" t="s">
        <v>27</v>
      </c>
      <c r="F659" t="s">
        <v>28</v>
      </c>
      <c r="G659" t="s">
        <v>29</v>
      </c>
      <c r="H659" t="s">
        <v>27</v>
      </c>
      <c r="I659">
        <v>50</v>
      </c>
      <c r="J659">
        <v>12</v>
      </c>
      <c r="K659">
        <v>0.3</v>
      </c>
      <c r="M659">
        <v>0.52</v>
      </c>
      <c r="P659" t="s">
        <v>1382</v>
      </c>
      <c r="Q659">
        <v>2500</v>
      </c>
      <c r="R659">
        <v>3000</v>
      </c>
      <c r="T659">
        <v>1</v>
      </c>
      <c r="U659">
        <v>0.6</v>
      </c>
      <c r="W659">
        <v>37</v>
      </c>
      <c r="Y659" t="s">
        <v>35</v>
      </c>
    </row>
    <row r="660" spans="1:25">
      <c r="A660" t="s">
        <v>1383</v>
      </c>
      <c r="B660" s="2" t="str">
        <f>Hyperlink("https://www.diodes.com/datasheet/download/DMN6010SCTB.pdf")</f>
        <v>https://www.diodes.com/datasheet/download/DMN6010SCTB.pdf</v>
      </c>
      <c r="C660" t="str">
        <f>Hyperlink("https://www.diodes.com/part/view/DMN6010SCTB","DMN6010SCTB")</f>
        <v>DMN6010SCTB</v>
      </c>
      <c r="D660" t="s">
        <v>1384</v>
      </c>
      <c r="E660" t="s">
        <v>27</v>
      </c>
      <c r="F660" t="s">
        <v>28</v>
      </c>
      <c r="G660" t="s">
        <v>29</v>
      </c>
      <c r="H660" t="s">
        <v>30</v>
      </c>
      <c r="I660">
        <v>60</v>
      </c>
      <c r="J660">
        <v>20</v>
      </c>
      <c r="L660">
        <v>128</v>
      </c>
      <c r="N660">
        <v>312</v>
      </c>
      <c r="O660">
        <v>10</v>
      </c>
      <c r="S660">
        <v>2</v>
      </c>
      <c r="T660">
        <v>4</v>
      </c>
      <c r="V660">
        <v>46</v>
      </c>
      <c r="W660">
        <v>2692</v>
      </c>
      <c r="X660">
        <v>25</v>
      </c>
      <c r="Y660" t="s">
        <v>1385</v>
      </c>
    </row>
    <row r="661" spans="1:25">
      <c r="A661" t="s">
        <v>1386</v>
      </c>
      <c r="B661" s="2" t="str">
        <f>Hyperlink("https://www.diodes.com/datasheet/download/DMN6010SCTBQ.pdf")</f>
        <v>https://www.diodes.com/datasheet/download/DMN6010SCTBQ.pdf</v>
      </c>
      <c r="C661" t="str">
        <f>Hyperlink("https://www.diodes.com/part/view/DMN6010SCTBQ","DMN6010SCTBQ")</f>
        <v>DMN6010SCTBQ</v>
      </c>
      <c r="D661" t="s">
        <v>1384</v>
      </c>
      <c r="E661" t="s">
        <v>27</v>
      </c>
      <c r="F661" t="s">
        <v>37</v>
      </c>
      <c r="G661" t="s">
        <v>29</v>
      </c>
      <c r="H661" t="s">
        <v>30</v>
      </c>
      <c r="I661">
        <v>60</v>
      </c>
      <c r="J661">
        <v>20</v>
      </c>
      <c r="L661">
        <v>128</v>
      </c>
      <c r="N661">
        <v>312</v>
      </c>
      <c r="O661">
        <v>10</v>
      </c>
      <c r="S661">
        <v>2</v>
      </c>
      <c r="T661">
        <v>4</v>
      </c>
      <c r="V661">
        <v>46</v>
      </c>
      <c r="W661">
        <v>2692</v>
      </c>
      <c r="X661">
        <v>25</v>
      </c>
      <c r="Y661" t="s">
        <v>1385</v>
      </c>
    </row>
    <row r="662" spans="1:25">
      <c r="A662" t="s">
        <v>1387</v>
      </c>
      <c r="B662" s="2" t="str">
        <f>Hyperlink("https://www.diodes.com/datasheet/download/DMN6013LFG.pdf")</f>
        <v>https://www.diodes.com/datasheet/download/DMN6013LFG.pdf</v>
      </c>
      <c r="C662" t="str">
        <f>Hyperlink("https://www.diodes.com/part/view/DMN6013LFG","DMN6013LFG")</f>
        <v>DMN6013LFG</v>
      </c>
      <c r="D662" t="s">
        <v>1384</v>
      </c>
      <c r="E662" t="s">
        <v>27</v>
      </c>
      <c r="F662" t="s">
        <v>28</v>
      </c>
      <c r="G662" t="s">
        <v>29</v>
      </c>
      <c r="H662" t="s">
        <v>30</v>
      </c>
      <c r="I662">
        <v>60</v>
      </c>
      <c r="J662">
        <v>20</v>
      </c>
      <c r="K662">
        <v>10.3</v>
      </c>
      <c r="L662">
        <v>45</v>
      </c>
      <c r="M662">
        <v>2.1</v>
      </c>
      <c r="N662">
        <v>40</v>
      </c>
      <c r="O662">
        <v>13</v>
      </c>
      <c r="P662">
        <v>18</v>
      </c>
      <c r="T662">
        <v>3</v>
      </c>
      <c r="U662">
        <v>26.6</v>
      </c>
      <c r="V662">
        <v>55.4</v>
      </c>
      <c r="W662">
        <v>2577</v>
      </c>
      <c r="X662">
        <v>30</v>
      </c>
      <c r="Y662" t="s">
        <v>718</v>
      </c>
    </row>
    <row r="663" spans="1:25">
      <c r="A663" t="s">
        <v>1388</v>
      </c>
      <c r="B663" s="2" t="str">
        <f>Hyperlink("https://www.diodes.com/datasheet/download/DMN6013LFGQ.pdf")</f>
        <v>https://www.diodes.com/datasheet/download/DMN6013LFGQ.pdf</v>
      </c>
      <c r="C663" t="str">
        <f>Hyperlink("https://www.diodes.com/part/view/DMN6013LFGQ","DMN6013LFGQ")</f>
        <v>DMN6013LFGQ</v>
      </c>
      <c r="D663" t="s">
        <v>1384</v>
      </c>
      <c r="E663" t="s">
        <v>27</v>
      </c>
      <c r="F663" t="s">
        <v>37</v>
      </c>
      <c r="G663" t="s">
        <v>29</v>
      </c>
      <c r="H663" t="s">
        <v>30</v>
      </c>
      <c r="I663">
        <v>60</v>
      </c>
      <c r="J663">
        <v>20</v>
      </c>
      <c r="K663">
        <v>10.3</v>
      </c>
      <c r="L663">
        <v>45</v>
      </c>
      <c r="M663">
        <v>2.1</v>
      </c>
      <c r="N663">
        <v>40</v>
      </c>
      <c r="O663">
        <v>13</v>
      </c>
      <c r="P663">
        <v>18</v>
      </c>
      <c r="T663">
        <v>3</v>
      </c>
      <c r="U663">
        <v>26.6</v>
      </c>
      <c r="V663">
        <v>55.4</v>
      </c>
      <c r="W663">
        <v>2577</v>
      </c>
      <c r="X663">
        <v>30</v>
      </c>
      <c r="Y663" t="s">
        <v>718</v>
      </c>
    </row>
    <row r="664" spans="1:25">
      <c r="A664" t="s">
        <v>1389</v>
      </c>
      <c r="B664" s="2" t="str">
        <f>Hyperlink("https://www.diodes.com/datasheet/download/DMN6017SFV.pdf")</f>
        <v>https://www.diodes.com/datasheet/download/DMN6017SFV.pdf</v>
      </c>
      <c r="C664" t="str">
        <f>Hyperlink("https://www.diodes.com/part/view/DMN6017SFV","DMN6017SFV")</f>
        <v>DMN6017SFV</v>
      </c>
      <c r="D664" t="s">
        <v>1384</v>
      </c>
      <c r="E664" t="s">
        <v>30</v>
      </c>
      <c r="F664" t="s">
        <v>28</v>
      </c>
      <c r="G664" t="s">
        <v>29</v>
      </c>
      <c r="H664" t="s">
        <v>30</v>
      </c>
      <c r="I664">
        <v>60</v>
      </c>
      <c r="J664">
        <v>20</v>
      </c>
      <c r="L664">
        <v>35</v>
      </c>
      <c r="M664">
        <v>2</v>
      </c>
      <c r="O664">
        <v>18</v>
      </c>
      <c r="P664">
        <v>20</v>
      </c>
      <c r="T664">
        <v>3</v>
      </c>
      <c r="U664">
        <v>26</v>
      </c>
      <c r="V664">
        <v>55</v>
      </c>
      <c r="W664">
        <v>2711</v>
      </c>
      <c r="X664">
        <v>15</v>
      </c>
      <c r="Y664" t="s">
        <v>783</v>
      </c>
    </row>
    <row r="665" spans="1:25">
      <c r="A665" t="s">
        <v>1390</v>
      </c>
      <c r="B665" s="2" t="str">
        <f>Hyperlink("https://www.diodes.com/datasheet/download/DMN6017SK3.pdf")</f>
        <v>https://www.diodes.com/datasheet/download/DMN6017SK3.pdf</v>
      </c>
      <c r="C665" t="str">
        <f>Hyperlink("https://www.diodes.com/part/view/DMN6017SK3","DMN6017SK3")</f>
        <v>DMN6017SK3</v>
      </c>
      <c r="D665" t="s">
        <v>26</v>
      </c>
      <c r="E665" t="s">
        <v>27</v>
      </c>
      <c r="F665" t="s">
        <v>28</v>
      </c>
      <c r="G665" t="s">
        <v>29</v>
      </c>
      <c r="H665" t="s">
        <v>30</v>
      </c>
      <c r="I665">
        <v>60</v>
      </c>
      <c r="J665">
        <v>20</v>
      </c>
      <c r="K665">
        <v>11</v>
      </c>
      <c r="L665">
        <v>43</v>
      </c>
      <c r="M665">
        <v>3.3</v>
      </c>
      <c r="N665">
        <v>50</v>
      </c>
      <c r="O665">
        <v>18</v>
      </c>
      <c r="P665">
        <v>20</v>
      </c>
      <c r="T665">
        <v>3</v>
      </c>
      <c r="U665">
        <v>26</v>
      </c>
      <c r="V665">
        <v>55</v>
      </c>
      <c r="W665">
        <v>2711</v>
      </c>
      <c r="X665">
        <v>15</v>
      </c>
      <c r="Y665" t="s">
        <v>681</v>
      </c>
    </row>
    <row r="666" spans="1:25">
      <c r="A666" t="s">
        <v>1391</v>
      </c>
      <c r="B666" s="2" t="str">
        <f>Hyperlink("https://www.diodes.com/datasheet/download/DMN601DMK.pdf")</f>
        <v>https://www.diodes.com/datasheet/download/DMN601DMK.pdf</v>
      </c>
      <c r="C666" t="str">
        <f>Hyperlink("https://www.diodes.com/part/view/DMN601DMK","DMN601DMK")</f>
        <v>DMN601DMK</v>
      </c>
      <c r="D666" t="s">
        <v>39</v>
      </c>
      <c r="E666" t="s">
        <v>27</v>
      </c>
      <c r="F666" t="s">
        <v>28</v>
      </c>
      <c r="G666" t="s">
        <v>40</v>
      </c>
      <c r="H666" t="s">
        <v>27</v>
      </c>
      <c r="I666">
        <v>60</v>
      </c>
      <c r="J666">
        <v>20</v>
      </c>
      <c r="K666">
        <v>0.51</v>
      </c>
      <c r="M666">
        <v>0.98</v>
      </c>
      <c r="O666">
        <v>2400</v>
      </c>
      <c r="P666" t="s">
        <v>1392</v>
      </c>
      <c r="T666">
        <v>2.5</v>
      </c>
      <c r="U666">
        <v>0.304</v>
      </c>
      <c r="W666" t="s">
        <v>51</v>
      </c>
      <c r="Y666" t="s">
        <v>339</v>
      </c>
    </row>
    <row r="667" spans="1:25">
      <c r="A667" t="s">
        <v>1393</v>
      </c>
      <c r="B667" s="2" t="str">
        <f>Hyperlink("https://www.diodes.com/datasheet/download/DMN601DWK.pdf")</f>
        <v>https://www.diodes.com/datasheet/download/DMN601DWK.pdf</v>
      </c>
      <c r="C667" t="str">
        <f>Hyperlink("https://www.diodes.com/part/view/DMN601DWK","DMN601DWK")</f>
        <v>DMN601DWK</v>
      </c>
      <c r="D667" t="s">
        <v>1265</v>
      </c>
      <c r="E667" t="s">
        <v>27</v>
      </c>
      <c r="F667" t="s">
        <v>28</v>
      </c>
      <c r="G667" t="s">
        <v>40</v>
      </c>
      <c r="H667" t="s">
        <v>27</v>
      </c>
      <c r="I667">
        <v>60</v>
      </c>
      <c r="J667">
        <v>20</v>
      </c>
      <c r="K667">
        <v>0.305</v>
      </c>
      <c r="M667">
        <v>0.2</v>
      </c>
      <c r="O667">
        <v>2000</v>
      </c>
      <c r="P667" t="s">
        <v>1380</v>
      </c>
      <c r="T667">
        <v>2.5</v>
      </c>
      <c r="U667">
        <v>0.304</v>
      </c>
      <c r="W667" t="s">
        <v>59</v>
      </c>
      <c r="Y667" t="s">
        <v>103</v>
      </c>
    </row>
    <row r="668" spans="1:25">
      <c r="A668" t="s">
        <v>1394</v>
      </c>
      <c r="B668" s="2" t="str">
        <f>Hyperlink("https://www.diodes.com/datasheet/download/DMN601DWKQ.pdf")</f>
        <v>https://www.diodes.com/datasheet/download/DMN601DWKQ.pdf</v>
      </c>
      <c r="C668" t="str">
        <f>Hyperlink("https://www.diodes.com/part/view/DMN601DWKQ","DMN601DWKQ")</f>
        <v>DMN601DWKQ</v>
      </c>
      <c r="D668" t="s">
        <v>1265</v>
      </c>
      <c r="E668" t="s">
        <v>27</v>
      </c>
      <c r="F668" t="s">
        <v>37</v>
      </c>
      <c r="G668" t="s">
        <v>40</v>
      </c>
      <c r="H668" t="s">
        <v>27</v>
      </c>
      <c r="I668">
        <v>60</v>
      </c>
      <c r="J668">
        <v>20</v>
      </c>
      <c r="K668">
        <v>0.305</v>
      </c>
      <c r="M668">
        <v>0.2</v>
      </c>
      <c r="O668">
        <v>2000</v>
      </c>
      <c r="P668" t="s">
        <v>1380</v>
      </c>
      <c r="T668">
        <v>2.5</v>
      </c>
      <c r="U668">
        <v>0.304</v>
      </c>
      <c r="W668">
        <v>30</v>
      </c>
      <c r="X668">
        <v>25</v>
      </c>
      <c r="Y668" t="s">
        <v>42</v>
      </c>
    </row>
    <row r="669" spans="1:25">
      <c r="A669" t="s">
        <v>1395</v>
      </c>
      <c r="B669" s="2" t="str">
        <f>Hyperlink("https://www.diodes.com/datasheet/download/DMN601K.pdf")</f>
        <v>https://www.diodes.com/datasheet/download/DMN601K.pdf</v>
      </c>
      <c r="C669" t="str">
        <f>Hyperlink("https://www.diodes.com/part/view/DMN601K","DMN601K")</f>
        <v>DMN601K</v>
      </c>
      <c r="D669" t="s">
        <v>26</v>
      </c>
      <c r="E669" t="s">
        <v>27</v>
      </c>
      <c r="F669" t="s">
        <v>28</v>
      </c>
      <c r="G669" t="s">
        <v>29</v>
      </c>
      <c r="H669" t="s">
        <v>27</v>
      </c>
      <c r="I669">
        <v>60</v>
      </c>
      <c r="J669">
        <v>20</v>
      </c>
      <c r="K669">
        <v>0.3</v>
      </c>
      <c r="M669">
        <v>0.35</v>
      </c>
      <c r="O669">
        <v>2000</v>
      </c>
      <c r="P669" t="s">
        <v>1380</v>
      </c>
      <c r="T669">
        <v>2.5</v>
      </c>
      <c r="W669" t="s">
        <v>59</v>
      </c>
      <c r="Y669" t="s">
        <v>32</v>
      </c>
    </row>
    <row r="670" spans="1:25">
      <c r="A670" t="s">
        <v>1396</v>
      </c>
      <c r="B670" s="2" t="str">
        <f>Hyperlink("https://www.diodes.com/datasheet/download/DMN601LT.pdf")</f>
        <v>https://www.diodes.com/datasheet/download/DMN601LT.pdf</v>
      </c>
      <c r="C670" t="str">
        <f>Hyperlink("https://www.diodes.com/part/view/DMN601LT","DMN601LT")</f>
        <v>DMN601LT</v>
      </c>
      <c r="D670" t="s">
        <v>1384</v>
      </c>
      <c r="E670" t="s">
        <v>30</v>
      </c>
      <c r="F670" t="s">
        <v>28</v>
      </c>
      <c r="G670" t="s">
        <v>29</v>
      </c>
      <c r="H670" t="s">
        <v>27</v>
      </c>
      <c r="I670">
        <v>60</v>
      </c>
      <c r="J670">
        <v>20</v>
      </c>
      <c r="K670">
        <v>0.356</v>
      </c>
      <c r="M670">
        <v>0.5</v>
      </c>
      <c r="O670">
        <v>2000</v>
      </c>
      <c r="P670" t="s">
        <v>1397</v>
      </c>
      <c r="S670">
        <v>1</v>
      </c>
      <c r="T670">
        <v>2.5</v>
      </c>
      <c r="U670">
        <v>0.7</v>
      </c>
      <c r="V670">
        <v>1.3</v>
      </c>
      <c r="W670">
        <v>47</v>
      </c>
      <c r="X670">
        <v>30</v>
      </c>
      <c r="Y670" t="s">
        <v>56</v>
      </c>
    </row>
    <row r="671" spans="1:25">
      <c r="A671" t="s">
        <v>1398</v>
      </c>
      <c r="B671" s="2" t="str">
        <f>Hyperlink("https://www.diodes.com/datasheet/download/DMN601LTQ.pdf")</f>
        <v>https://www.diodes.com/datasheet/download/DMN601LTQ.pdf</v>
      </c>
      <c r="C671" t="str">
        <f>Hyperlink("https://www.diodes.com/part/view/DMN601LTQ","DMN601LTQ")</f>
        <v>DMN601LTQ</v>
      </c>
      <c r="D671" t="s">
        <v>1399</v>
      </c>
      <c r="E671" t="s">
        <v>27</v>
      </c>
      <c r="F671" t="s">
        <v>37</v>
      </c>
      <c r="G671" t="s">
        <v>29</v>
      </c>
      <c r="H671" t="s">
        <v>27</v>
      </c>
      <c r="I671">
        <v>60</v>
      </c>
      <c r="J671">
        <v>20</v>
      </c>
      <c r="K671">
        <v>0.356</v>
      </c>
      <c r="M671">
        <v>0.5</v>
      </c>
      <c r="O671">
        <v>2000</v>
      </c>
      <c r="P671" t="s">
        <v>1400</v>
      </c>
      <c r="S671">
        <v>1</v>
      </c>
      <c r="T671">
        <v>2.5</v>
      </c>
      <c r="U671">
        <v>0.7</v>
      </c>
      <c r="V671">
        <v>1.3</v>
      </c>
      <c r="W671">
        <v>47</v>
      </c>
      <c r="X671">
        <v>30</v>
      </c>
      <c r="Y671" t="s">
        <v>56</v>
      </c>
    </row>
    <row r="672" spans="1:25">
      <c r="A672" t="s">
        <v>1401</v>
      </c>
      <c r="B672" s="2" t="str">
        <f>Hyperlink("https://www.diodes.com/datasheet/download/DMN601TK.pdf")</f>
        <v>https://www.diodes.com/datasheet/download/DMN601TK.pdf</v>
      </c>
      <c r="C672" t="str">
        <f>Hyperlink("https://www.diodes.com/part/view/DMN601TK","DMN601TK")</f>
        <v>DMN601TK</v>
      </c>
      <c r="D672" t="s">
        <v>26</v>
      </c>
      <c r="E672" t="s">
        <v>27</v>
      </c>
      <c r="F672" t="s">
        <v>28</v>
      </c>
      <c r="G672" t="s">
        <v>29</v>
      </c>
      <c r="H672" t="s">
        <v>27</v>
      </c>
      <c r="I672">
        <v>60</v>
      </c>
      <c r="J672">
        <v>20</v>
      </c>
      <c r="K672">
        <v>0.3</v>
      </c>
      <c r="M672">
        <v>0.15</v>
      </c>
      <c r="O672">
        <v>2000</v>
      </c>
      <c r="P672" t="s">
        <v>1380</v>
      </c>
      <c r="T672">
        <v>2.5</v>
      </c>
      <c r="W672" t="s">
        <v>1402</v>
      </c>
      <c r="Y672" t="s">
        <v>56</v>
      </c>
    </row>
    <row r="673" spans="1:25">
      <c r="A673" t="s">
        <v>1403</v>
      </c>
      <c r="B673" s="2" t="str">
        <f>Hyperlink("https://www.diodes.com/datasheet/download/DMN601TKQ.pdf")</f>
        <v>https://www.diodes.com/datasheet/download/DMN601TKQ.pdf</v>
      </c>
      <c r="C673" t="str">
        <f>Hyperlink("https://www.diodes.com/part/view/DMN601TKQ","DMN601TKQ")</f>
        <v>DMN601TKQ</v>
      </c>
      <c r="D673" t="s">
        <v>1399</v>
      </c>
      <c r="E673" t="s">
        <v>27</v>
      </c>
      <c r="F673" t="s">
        <v>37</v>
      </c>
      <c r="G673" t="s">
        <v>29</v>
      </c>
      <c r="H673" t="s">
        <v>27</v>
      </c>
      <c r="I673">
        <v>60</v>
      </c>
      <c r="J673">
        <v>20</v>
      </c>
      <c r="K673">
        <v>0.343</v>
      </c>
      <c r="M673">
        <v>0.5</v>
      </c>
      <c r="O673">
        <v>2000</v>
      </c>
      <c r="P673" t="s">
        <v>1400</v>
      </c>
      <c r="S673">
        <v>1</v>
      </c>
      <c r="T673">
        <v>2.5</v>
      </c>
      <c r="U673">
        <v>0.51</v>
      </c>
      <c r="V673">
        <v>1.04</v>
      </c>
      <c r="W673">
        <v>41</v>
      </c>
      <c r="X673">
        <v>30</v>
      </c>
      <c r="Y673" t="s">
        <v>56</v>
      </c>
    </row>
    <row r="674" spans="1:25">
      <c r="A674" t="s">
        <v>1404</v>
      </c>
      <c r="B674" s="2" t="str">
        <f>Hyperlink("https://www.diodes.com/datasheet/download/DMN601VKQ.pdf")</f>
        <v>https://www.diodes.com/datasheet/download/DMN601VKQ.pdf</v>
      </c>
      <c r="C674" t="str">
        <f>Hyperlink("https://www.diodes.com/part/view/DMN601VKQ","DMN601VKQ")</f>
        <v>DMN601VKQ</v>
      </c>
      <c r="D674" t="s">
        <v>1265</v>
      </c>
      <c r="E674" t="s">
        <v>27</v>
      </c>
      <c r="F674" t="s">
        <v>37</v>
      </c>
      <c r="G674" t="s">
        <v>40</v>
      </c>
      <c r="H674" t="s">
        <v>27</v>
      </c>
      <c r="I674">
        <v>60</v>
      </c>
      <c r="J674">
        <v>20</v>
      </c>
      <c r="K674">
        <v>0.305</v>
      </c>
      <c r="M674">
        <v>0.25</v>
      </c>
      <c r="O674">
        <v>2000</v>
      </c>
      <c r="P674">
        <v>3000</v>
      </c>
      <c r="T674">
        <v>2.5</v>
      </c>
      <c r="X674">
        <v>25</v>
      </c>
      <c r="Y674" t="s">
        <v>60</v>
      </c>
    </row>
    <row r="675" spans="1:25">
      <c r="A675" t="s">
        <v>1405</v>
      </c>
      <c r="B675" s="2" t="str">
        <f>Hyperlink("https://www.diodes.com/datasheet/download/DMN601WK.pdf")</f>
        <v>https://www.diodes.com/datasheet/download/DMN601WK.pdf</v>
      </c>
      <c r="C675" t="str">
        <f>Hyperlink("https://www.diodes.com/part/view/DMN601WK","DMN601WK")</f>
        <v>DMN601WK</v>
      </c>
      <c r="D675" t="s">
        <v>26</v>
      </c>
      <c r="E675" t="s">
        <v>27</v>
      </c>
      <c r="F675" t="s">
        <v>28</v>
      </c>
      <c r="G675" t="s">
        <v>29</v>
      </c>
      <c r="H675" t="s">
        <v>27</v>
      </c>
      <c r="I675">
        <v>60</v>
      </c>
      <c r="J675">
        <v>20</v>
      </c>
      <c r="K675">
        <v>0.3</v>
      </c>
      <c r="M675">
        <v>0.2</v>
      </c>
      <c r="O675">
        <v>2000</v>
      </c>
      <c r="P675">
        <v>3000</v>
      </c>
      <c r="T675">
        <v>2.5</v>
      </c>
      <c r="W675" t="s">
        <v>59</v>
      </c>
      <c r="Y675" t="s">
        <v>92</v>
      </c>
    </row>
    <row r="676" spans="1:25">
      <c r="A676" t="s">
        <v>1406</v>
      </c>
      <c r="B676" s="2" t="str">
        <f>Hyperlink("https://www.diodes.com/datasheet/download/DMN601WKQ.pdf")</f>
        <v>https://www.diodes.com/datasheet/download/DMN601WKQ.pdf</v>
      </c>
      <c r="C676" t="str">
        <f>Hyperlink("https://www.diodes.com/part/view/DMN601WKQ","DMN601WKQ")</f>
        <v>DMN601WKQ</v>
      </c>
      <c r="D676" t="s">
        <v>1384</v>
      </c>
      <c r="E676" t="s">
        <v>27</v>
      </c>
      <c r="F676" t="s">
        <v>37</v>
      </c>
      <c r="G676" t="s">
        <v>29</v>
      </c>
      <c r="H676" t="s">
        <v>27</v>
      </c>
      <c r="I676">
        <v>60</v>
      </c>
      <c r="J676">
        <v>20</v>
      </c>
      <c r="K676">
        <v>0.3</v>
      </c>
      <c r="M676">
        <v>0.2</v>
      </c>
      <c r="O676">
        <v>2000</v>
      </c>
      <c r="P676">
        <v>3000</v>
      </c>
      <c r="T676">
        <v>2.5</v>
      </c>
      <c r="X676">
        <v>25</v>
      </c>
      <c r="Y676" t="s">
        <v>92</v>
      </c>
    </row>
    <row r="677" spans="1:25">
      <c r="A677" t="s">
        <v>1407</v>
      </c>
      <c r="B677" s="2" t="str">
        <f>Hyperlink("https://www.diodes.com/datasheet/download/DMN6022SSD.pdf")</f>
        <v>https://www.diodes.com/datasheet/download/DMN6022SSD.pdf</v>
      </c>
      <c r="C677" t="str">
        <f>Hyperlink("https://www.diodes.com/part/view/DMN6022SSD","DMN6022SSD")</f>
        <v>DMN6022SSD</v>
      </c>
      <c r="D677" t="s">
        <v>39</v>
      </c>
      <c r="E677" t="s">
        <v>27</v>
      </c>
      <c r="F677" t="s">
        <v>28</v>
      </c>
      <c r="G677" t="s">
        <v>40</v>
      </c>
      <c r="H677" t="s">
        <v>30</v>
      </c>
      <c r="I677">
        <v>60</v>
      </c>
      <c r="J677">
        <v>20</v>
      </c>
      <c r="K677">
        <v>6</v>
      </c>
      <c r="L677">
        <v>14</v>
      </c>
      <c r="M677">
        <v>1.5</v>
      </c>
      <c r="O677">
        <v>29</v>
      </c>
      <c r="T677">
        <v>3</v>
      </c>
      <c r="U677">
        <v>14</v>
      </c>
      <c r="V677">
        <v>32</v>
      </c>
      <c r="W677">
        <v>2110</v>
      </c>
      <c r="X677">
        <v>30</v>
      </c>
      <c r="Y677" t="s">
        <v>213</v>
      </c>
    </row>
    <row r="678" spans="1:25">
      <c r="A678" t="s">
        <v>1408</v>
      </c>
      <c r="B678" s="2" t="str">
        <f>Hyperlink("https://www.diodes.com/datasheet/download/DMN6022SSS.pdf")</f>
        <v>https://www.diodes.com/datasheet/download/DMN6022SSS.pdf</v>
      </c>
      <c r="C678" t="str">
        <f>Hyperlink("https://www.diodes.com/part/view/DMN6022SSS","DMN6022SSS")</f>
        <v>DMN6022SSS</v>
      </c>
      <c r="D678" t="s">
        <v>26</v>
      </c>
      <c r="E678" t="s">
        <v>30</v>
      </c>
      <c r="F678" t="s">
        <v>28</v>
      </c>
      <c r="G678" t="s">
        <v>29</v>
      </c>
      <c r="H678" t="s">
        <v>30</v>
      </c>
      <c r="I678">
        <v>60</v>
      </c>
      <c r="J678">
        <v>20</v>
      </c>
      <c r="K678">
        <v>6.9</v>
      </c>
      <c r="M678">
        <v>2.1</v>
      </c>
      <c r="O678">
        <v>29</v>
      </c>
      <c r="T678">
        <v>3</v>
      </c>
      <c r="U678">
        <v>14</v>
      </c>
      <c r="V678">
        <v>32</v>
      </c>
      <c r="W678">
        <v>2110</v>
      </c>
      <c r="X678">
        <v>30</v>
      </c>
      <c r="Y678" t="s">
        <v>213</v>
      </c>
    </row>
    <row r="679" spans="1:25">
      <c r="A679" t="s">
        <v>1409</v>
      </c>
      <c r="B679" s="2" t="str">
        <f>Hyperlink("https://www.diodes.com/datasheet/download/DMN6040SE.pdf")</f>
        <v>https://www.diodes.com/datasheet/download/DMN6040SE.pdf</v>
      </c>
      <c r="C679" t="str">
        <f>Hyperlink("https://www.diodes.com/part/view/DMN6040SE","DMN6040SE")</f>
        <v>DMN6040SE</v>
      </c>
      <c r="D679" t="s">
        <v>1384</v>
      </c>
      <c r="E679" t="s">
        <v>27</v>
      </c>
      <c r="F679" t="s">
        <v>28</v>
      </c>
      <c r="G679" t="s">
        <v>29</v>
      </c>
      <c r="H679" t="s">
        <v>30</v>
      </c>
      <c r="I679">
        <v>60</v>
      </c>
      <c r="J679">
        <v>20</v>
      </c>
      <c r="K679">
        <v>5</v>
      </c>
      <c r="M679">
        <v>2</v>
      </c>
      <c r="O679">
        <v>40</v>
      </c>
      <c r="P679">
        <v>55</v>
      </c>
      <c r="T679">
        <v>3</v>
      </c>
      <c r="U679">
        <v>10.4</v>
      </c>
      <c r="V679">
        <v>22.4</v>
      </c>
      <c r="W679">
        <v>1287</v>
      </c>
      <c r="X679">
        <v>25</v>
      </c>
      <c r="Y679" t="s">
        <v>820</v>
      </c>
    </row>
    <row r="680" spans="1:25">
      <c r="A680" t="s">
        <v>1410</v>
      </c>
      <c r="B680" s="2" t="str">
        <f>Hyperlink("https://www.diodes.com/datasheet/download/DMN6040SFDE.pdf")</f>
        <v>https://www.diodes.com/datasheet/download/DMN6040SFDE.pdf</v>
      </c>
      <c r="C680" t="str">
        <f>Hyperlink("https://www.diodes.com/part/view/DMN6040SFDE","DMN6040SFDE")</f>
        <v>DMN6040SFDE</v>
      </c>
      <c r="D680" t="s">
        <v>26</v>
      </c>
      <c r="E680" t="s">
        <v>27</v>
      </c>
      <c r="F680" t="s">
        <v>28</v>
      </c>
      <c r="G680" t="s">
        <v>29</v>
      </c>
      <c r="H680" t="s">
        <v>30</v>
      </c>
      <c r="I680">
        <v>60</v>
      </c>
      <c r="J680">
        <v>20</v>
      </c>
      <c r="K680">
        <v>5.3</v>
      </c>
      <c r="M680">
        <v>2.03</v>
      </c>
      <c r="O680">
        <v>38</v>
      </c>
      <c r="P680">
        <v>47</v>
      </c>
      <c r="T680">
        <v>3</v>
      </c>
      <c r="U680">
        <v>10.4</v>
      </c>
      <c r="V680">
        <v>22.4</v>
      </c>
      <c r="W680" t="s">
        <v>1411</v>
      </c>
      <c r="Y680" t="s">
        <v>778</v>
      </c>
    </row>
    <row r="681" spans="1:25">
      <c r="A681" t="s">
        <v>1412</v>
      </c>
      <c r="B681" s="2" t="str">
        <f>Hyperlink("https://www.diodes.com/datasheet/download/DMN6040SFDEQ.pdf")</f>
        <v>https://www.diodes.com/datasheet/download/DMN6040SFDEQ.pdf</v>
      </c>
      <c r="C681" t="str">
        <f>Hyperlink("https://www.diodes.com/part/view/DMN6040SFDEQ","DMN6040SFDEQ")</f>
        <v>DMN6040SFDEQ</v>
      </c>
      <c r="D681" t="s">
        <v>1384</v>
      </c>
      <c r="E681" t="s">
        <v>27</v>
      </c>
      <c r="F681" t="s">
        <v>37</v>
      </c>
      <c r="G681" t="s">
        <v>29</v>
      </c>
      <c r="H681" t="s">
        <v>30</v>
      </c>
      <c r="I681">
        <v>60</v>
      </c>
      <c r="J681">
        <v>20</v>
      </c>
      <c r="K681">
        <v>5.3</v>
      </c>
      <c r="M681">
        <v>2.03</v>
      </c>
      <c r="O681">
        <v>38</v>
      </c>
      <c r="P681">
        <v>47</v>
      </c>
      <c r="T681">
        <v>3</v>
      </c>
      <c r="U681">
        <v>10.4</v>
      </c>
      <c r="V681">
        <v>22.4</v>
      </c>
      <c r="W681">
        <v>1287</v>
      </c>
      <c r="X681">
        <v>25</v>
      </c>
      <c r="Y681" t="s">
        <v>778</v>
      </c>
    </row>
    <row r="682" spans="1:25">
      <c r="A682" t="s">
        <v>1413</v>
      </c>
      <c r="B682" s="2" t="str">
        <f>Hyperlink("https://www.diodes.com/datasheet/download/DMN6040SK3.pdf")</f>
        <v>https://www.diodes.com/datasheet/download/DMN6040SK3.pdf</v>
      </c>
      <c r="C682" t="str">
        <f>Hyperlink("https://www.diodes.com/part/view/DMN6040SK3","DMN6040SK3")</f>
        <v>DMN6040SK3</v>
      </c>
      <c r="D682" t="s">
        <v>26</v>
      </c>
      <c r="E682" t="s">
        <v>27</v>
      </c>
      <c r="F682" t="s">
        <v>28</v>
      </c>
      <c r="G682" t="s">
        <v>29</v>
      </c>
      <c r="H682" t="s">
        <v>30</v>
      </c>
      <c r="I682">
        <v>60</v>
      </c>
      <c r="J682">
        <v>20</v>
      </c>
      <c r="K682">
        <v>6.3</v>
      </c>
      <c r="L682">
        <v>20</v>
      </c>
      <c r="M682">
        <v>2.84</v>
      </c>
      <c r="O682">
        <v>40</v>
      </c>
      <c r="P682">
        <v>50</v>
      </c>
      <c r="T682">
        <v>3</v>
      </c>
      <c r="U682">
        <v>10.4</v>
      </c>
      <c r="V682">
        <v>22.4</v>
      </c>
      <c r="W682" t="s">
        <v>1411</v>
      </c>
      <c r="Y682" t="s">
        <v>681</v>
      </c>
    </row>
    <row r="683" spans="1:25">
      <c r="A683" t="s">
        <v>1414</v>
      </c>
      <c r="B683" s="2" t="str">
        <f>Hyperlink("https://www.diodes.com/datasheet/download/DMN6040SK3Q.pdf")</f>
        <v>https://www.diodes.com/datasheet/download/DMN6040SK3Q.pdf</v>
      </c>
      <c r="C683" t="str">
        <f>Hyperlink("https://www.diodes.com/part/view/DMN6040SK3Q","DMN6040SK3Q")</f>
        <v>DMN6040SK3Q</v>
      </c>
      <c r="D683" t="s">
        <v>26</v>
      </c>
      <c r="E683" t="s">
        <v>27</v>
      </c>
      <c r="F683" t="s">
        <v>37</v>
      </c>
      <c r="G683" t="s">
        <v>29</v>
      </c>
      <c r="H683" t="s">
        <v>30</v>
      </c>
      <c r="I683">
        <v>60</v>
      </c>
      <c r="J683">
        <v>20</v>
      </c>
      <c r="L683">
        <v>20</v>
      </c>
      <c r="M683">
        <v>2.84</v>
      </c>
      <c r="N683">
        <v>42</v>
      </c>
      <c r="O683">
        <v>40</v>
      </c>
      <c r="P683">
        <v>50</v>
      </c>
      <c r="T683">
        <v>3</v>
      </c>
      <c r="U683">
        <v>10.4</v>
      </c>
      <c r="V683">
        <v>22.4</v>
      </c>
      <c r="W683">
        <v>1287</v>
      </c>
      <c r="X683">
        <v>25</v>
      </c>
      <c r="Y683" t="s">
        <v>681</v>
      </c>
    </row>
    <row r="684" spans="1:25">
      <c r="A684" t="s">
        <v>1415</v>
      </c>
      <c r="B684" s="2" t="str">
        <f>Hyperlink("https://www.diodes.com/datasheet/download/DMN6040SSD.pdf")</f>
        <v>https://www.diodes.com/datasheet/download/DMN6040SSD.pdf</v>
      </c>
      <c r="C684" t="str">
        <f>Hyperlink("https://www.diodes.com/part/view/DMN6040SSD","DMN6040SSD")</f>
        <v>DMN6040SSD</v>
      </c>
      <c r="D684" t="s">
        <v>46</v>
      </c>
      <c r="E684" t="s">
        <v>27</v>
      </c>
      <c r="F684" t="s">
        <v>28</v>
      </c>
      <c r="G684" t="s">
        <v>40</v>
      </c>
      <c r="H684" t="s">
        <v>30</v>
      </c>
      <c r="I684">
        <v>60</v>
      </c>
      <c r="J684">
        <v>20</v>
      </c>
      <c r="K684">
        <v>5</v>
      </c>
      <c r="M684">
        <v>1.7</v>
      </c>
      <c r="O684">
        <v>40</v>
      </c>
      <c r="P684">
        <v>55</v>
      </c>
      <c r="T684">
        <v>3</v>
      </c>
      <c r="U684">
        <v>10.4</v>
      </c>
      <c r="V684">
        <v>22.4</v>
      </c>
      <c r="W684" t="s">
        <v>1411</v>
      </c>
      <c r="Y684" t="s">
        <v>213</v>
      </c>
    </row>
    <row r="685" spans="1:25">
      <c r="A685" t="s">
        <v>1416</v>
      </c>
      <c r="B685" s="2" t="str">
        <f>Hyperlink("https://www.diodes.com/datasheet/download/DMN6040SSDQ.pdf")</f>
        <v>https://www.diodes.com/datasheet/download/DMN6040SSDQ.pdf</v>
      </c>
      <c r="C685" t="str">
        <f>Hyperlink("https://www.diodes.com/part/view/DMN6040SSDQ","DMN6040SSDQ")</f>
        <v>DMN6040SSDQ</v>
      </c>
      <c r="D685" t="s">
        <v>39</v>
      </c>
      <c r="E685" t="s">
        <v>27</v>
      </c>
      <c r="F685" t="s">
        <v>37</v>
      </c>
      <c r="G685" t="s">
        <v>40</v>
      </c>
      <c r="H685" t="s">
        <v>30</v>
      </c>
      <c r="I685">
        <v>60</v>
      </c>
      <c r="J685">
        <v>20</v>
      </c>
      <c r="K685">
        <v>5</v>
      </c>
      <c r="M685">
        <v>1.7</v>
      </c>
      <c r="O685">
        <v>40</v>
      </c>
      <c r="P685">
        <v>55</v>
      </c>
      <c r="T685">
        <v>3</v>
      </c>
      <c r="U685">
        <v>10.4</v>
      </c>
      <c r="V685">
        <v>22.4</v>
      </c>
      <c r="W685">
        <v>1287</v>
      </c>
      <c r="X685">
        <v>25</v>
      </c>
      <c r="Y685" t="s">
        <v>213</v>
      </c>
    </row>
    <row r="686" spans="1:25">
      <c r="A686" t="s">
        <v>1417</v>
      </c>
      <c r="B686" s="2" t="str">
        <f>Hyperlink("https://www.diodes.com/datasheet/download/DMN6040SSS.pdf")</f>
        <v>https://www.diodes.com/datasheet/download/DMN6040SSS.pdf</v>
      </c>
      <c r="C686" t="str">
        <f>Hyperlink("https://www.diodes.com/part/view/DMN6040SSS","DMN6040SSS")</f>
        <v>DMN6040SSS</v>
      </c>
      <c r="D686" t="s">
        <v>26</v>
      </c>
      <c r="E686" t="s">
        <v>27</v>
      </c>
      <c r="F686" t="s">
        <v>28</v>
      </c>
      <c r="G686" t="s">
        <v>29</v>
      </c>
      <c r="H686" t="s">
        <v>30</v>
      </c>
      <c r="I686">
        <v>60</v>
      </c>
      <c r="J686">
        <v>20</v>
      </c>
      <c r="K686">
        <v>5.5</v>
      </c>
      <c r="M686">
        <v>2</v>
      </c>
      <c r="O686">
        <v>40</v>
      </c>
      <c r="P686">
        <v>55</v>
      </c>
      <c r="T686">
        <v>3</v>
      </c>
      <c r="U686">
        <v>10.4</v>
      </c>
      <c r="V686">
        <v>22.4</v>
      </c>
      <c r="W686" t="s">
        <v>1411</v>
      </c>
      <c r="Y686" t="s">
        <v>213</v>
      </c>
    </row>
    <row r="687" spans="1:25">
      <c r="A687" t="s">
        <v>1418</v>
      </c>
      <c r="B687" s="2" t="str">
        <f>Hyperlink("https://www.diodes.com/datasheet/download/DMN6040SSSQ.pdf")</f>
        <v>https://www.diodes.com/datasheet/download/DMN6040SSSQ.pdf</v>
      </c>
      <c r="C687" t="str">
        <f>Hyperlink("https://www.diodes.com/part/view/DMN6040SSSQ","DMN6040SSSQ")</f>
        <v>DMN6040SSSQ</v>
      </c>
      <c r="D687" t="s">
        <v>849</v>
      </c>
      <c r="E687" t="s">
        <v>27</v>
      </c>
      <c r="F687" t="s">
        <v>37</v>
      </c>
      <c r="G687" t="s">
        <v>29</v>
      </c>
      <c r="H687" t="s">
        <v>30</v>
      </c>
      <c r="I687">
        <v>60</v>
      </c>
      <c r="J687">
        <v>20</v>
      </c>
      <c r="K687">
        <v>5.5</v>
      </c>
      <c r="M687">
        <v>2</v>
      </c>
      <c r="O687">
        <v>40</v>
      </c>
      <c r="P687">
        <v>55</v>
      </c>
      <c r="S687">
        <v>1</v>
      </c>
      <c r="T687">
        <v>3</v>
      </c>
      <c r="U687">
        <v>10.4</v>
      </c>
      <c r="V687">
        <v>22.4</v>
      </c>
      <c r="W687">
        <v>1287</v>
      </c>
      <c r="X687">
        <v>25</v>
      </c>
      <c r="Y687" t="s">
        <v>213</v>
      </c>
    </row>
    <row r="688" spans="1:25">
      <c r="A688" t="s">
        <v>1419</v>
      </c>
      <c r="B688" s="2" t="str">
        <f>Hyperlink("https://www.diodes.com/datasheet/download/DMN6040SVT.pdf")</f>
        <v>https://www.diodes.com/datasheet/download/DMN6040SVT.pdf</v>
      </c>
      <c r="C688" t="str">
        <f>Hyperlink("https://www.diodes.com/part/view/DMN6040SVT","DMN6040SVT")</f>
        <v>DMN6040SVT</v>
      </c>
      <c r="D688" t="s">
        <v>26</v>
      </c>
      <c r="E688" t="s">
        <v>27</v>
      </c>
      <c r="F688" t="s">
        <v>28</v>
      </c>
      <c r="G688" t="s">
        <v>29</v>
      </c>
      <c r="H688" t="s">
        <v>30</v>
      </c>
      <c r="I688">
        <v>60</v>
      </c>
      <c r="J688">
        <v>20</v>
      </c>
      <c r="K688">
        <v>5</v>
      </c>
      <c r="M688">
        <v>1.8</v>
      </c>
      <c r="O688">
        <v>44</v>
      </c>
      <c r="P688">
        <v>60</v>
      </c>
      <c r="T688">
        <v>3</v>
      </c>
      <c r="U688">
        <v>10.4</v>
      </c>
      <c r="V688">
        <v>22.4</v>
      </c>
      <c r="W688" t="s">
        <v>1411</v>
      </c>
      <c r="Y688" t="s">
        <v>183</v>
      </c>
    </row>
    <row r="689" spans="1:25">
      <c r="A689" t="s">
        <v>1420</v>
      </c>
      <c r="B689" s="2" t="str">
        <f>Hyperlink("https://www.diodes.com/datasheet/download/DMN6040SVTQ.pdf")</f>
        <v>https://www.diodes.com/datasheet/download/DMN6040SVTQ.pdf</v>
      </c>
      <c r="C689" t="str">
        <f>Hyperlink("https://www.diodes.com/part/view/DMN6040SVTQ","DMN6040SVTQ")</f>
        <v>DMN6040SVTQ</v>
      </c>
      <c r="D689" t="s">
        <v>26</v>
      </c>
      <c r="E689" t="s">
        <v>27</v>
      </c>
      <c r="F689" t="s">
        <v>37</v>
      </c>
      <c r="G689" t="s">
        <v>29</v>
      </c>
      <c r="H689" t="s">
        <v>30</v>
      </c>
      <c r="I689">
        <v>60</v>
      </c>
      <c r="J689">
        <v>20</v>
      </c>
      <c r="K689">
        <v>5</v>
      </c>
      <c r="M689">
        <v>1.8</v>
      </c>
      <c r="O689">
        <v>44</v>
      </c>
      <c r="P689">
        <v>60</v>
      </c>
      <c r="T689">
        <v>3</v>
      </c>
      <c r="U689">
        <v>10.4</v>
      </c>
      <c r="V689">
        <v>22.4</v>
      </c>
      <c r="W689">
        <v>1287</v>
      </c>
      <c r="X689">
        <v>25</v>
      </c>
      <c r="Y689" t="s">
        <v>183</v>
      </c>
    </row>
    <row r="690" spans="1:25">
      <c r="A690" t="s">
        <v>1421</v>
      </c>
      <c r="B690" s="2" t="str">
        <f>Hyperlink("https://www.diodes.com/datasheet/download/DMN6041SVT.pdf")</f>
        <v>https://www.diodes.com/datasheet/download/DMN6041SVT.pdf</v>
      </c>
      <c r="C690" t="str">
        <f>Hyperlink("https://www.diodes.com/part/view/DMN6041SVT","DMN6041SVT")</f>
        <v>DMN6041SVT</v>
      </c>
      <c r="D690" t="s">
        <v>1399</v>
      </c>
      <c r="E690" t="s">
        <v>30</v>
      </c>
      <c r="F690" t="s">
        <v>28</v>
      </c>
      <c r="G690" t="s">
        <v>29</v>
      </c>
      <c r="H690" t="s">
        <v>30</v>
      </c>
      <c r="I690">
        <v>60</v>
      </c>
      <c r="J690">
        <v>20</v>
      </c>
      <c r="K690">
        <v>4.1</v>
      </c>
      <c r="M690">
        <v>1.7</v>
      </c>
      <c r="O690">
        <v>48</v>
      </c>
      <c r="P690">
        <v>60</v>
      </c>
      <c r="S690">
        <v>1</v>
      </c>
      <c r="T690">
        <v>3</v>
      </c>
      <c r="U690">
        <v>10</v>
      </c>
      <c r="V690">
        <v>21</v>
      </c>
      <c r="W690">
        <v>1190</v>
      </c>
      <c r="X690">
        <v>30</v>
      </c>
      <c r="Y690" t="s">
        <v>183</v>
      </c>
    </row>
    <row r="691" spans="1:25">
      <c r="A691" t="s">
        <v>1422</v>
      </c>
      <c r="B691" s="2" t="str">
        <f>Hyperlink("https://www.diodes.com/datasheet/download/DMN6041SVTQ.pdf")</f>
        <v>https://www.diodes.com/datasheet/download/DMN6041SVTQ.pdf</v>
      </c>
      <c r="C691" t="str">
        <f>Hyperlink("https://www.diodes.com/part/view/DMN6041SVTQ","DMN6041SVTQ")</f>
        <v>DMN6041SVTQ</v>
      </c>
      <c r="D691" t="s">
        <v>1399</v>
      </c>
      <c r="E691" t="s">
        <v>27</v>
      </c>
      <c r="F691" t="s">
        <v>37</v>
      </c>
      <c r="G691" t="s">
        <v>29</v>
      </c>
      <c r="H691" t="s">
        <v>30</v>
      </c>
      <c r="I691">
        <v>60</v>
      </c>
      <c r="J691">
        <v>20</v>
      </c>
      <c r="K691">
        <v>4.1</v>
      </c>
      <c r="M691">
        <v>1.7</v>
      </c>
      <c r="O691">
        <v>48</v>
      </c>
      <c r="P691">
        <v>60</v>
      </c>
      <c r="S691">
        <v>1</v>
      </c>
      <c r="T691">
        <v>3</v>
      </c>
      <c r="U691">
        <v>10</v>
      </c>
      <c r="V691">
        <v>21</v>
      </c>
      <c r="W691">
        <v>1190</v>
      </c>
      <c r="X691">
        <v>30</v>
      </c>
      <c r="Y691" t="s">
        <v>183</v>
      </c>
    </row>
    <row r="692" spans="1:25">
      <c r="A692" t="s">
        <v>1423</v>
      </c>
      <c r="B692" s="2" t="str">
        <f>Hyperlink("https://www.diodes.com/datasheet/download/DMN6066SSD.pdf")</f>
        <v>https://www.diodes.com/datasheet/download/DMN6066SSD.pdf</v>
      </c>
      <c r="C692" t="str">
        <f>Hyperlink("https://www.diodes.com/part/view/DMN6066SSD","DMN6066SSD")</f>
        <v>DMN6066SSD</v>
      </c>
      <c r="D692" t="s">
        <v>39</v>
      </c>
      <c r="E692" t="s">
        <v>27</v>
      </c>
      <c r="F692" t="s">
        <v>28</v>
      </c>
      <c r="G692" t="s">
        <v>40</v>
      </c>
      <c r="H692" t="s">
        <v>30</v>
      </c>
      <c r="I692">
        <v>60</v>
      </c>
      <c r="J692">
        <v>20</v>
      </c>
      <c r="K692">
        <v>3.3</v>
      </c>
      <c r="M692">
        <v>1.8</v>
      </c>
      <c r="O692">
        <v>66</v>
      </c>
      <c r="P692">
        <v>97</v>
      </c>
      <c r="T692">
        <v>3</v>
      </c>
      <c r="U692">
        <v>5.4</v>
      </c>
      <c r="V692">
        <v>10.3</v>
      </c>
      <c r="W692">
        <v>502</v>
      </c>
      <c r="Y692" t="s">
        <v>213</v>
      </c>
    </row>
    <row r="693" spans="1:25">
      <c r="A693" t="s">
        <v>1424</v>
      </c>
      <c r="B693" s="2" t="str">
        <f>Hyperlink("https://www.diodes.com/datasheet/download/DMN6066SSDQ.pdf")</f>
        <v>https://www.diodes.com/datasheet/download/DMN6066SSDQ.pdf</v>
      </c>
      <c r="C693" t="str">
        <f>Hyperlink("https://www.diodes.com/part/view/DMN6066SSDQ","DMN6066SSDQ")</f>
        <v>DMN6066SSDQ</v>
      </c>
      <c r="D693" t="s">
        <v>1425</v>
      </c>
      <c r="E693" t="s">
        <v>27</v>
      </c>
      <c r="F693" t="s">
        <v>37</v>
      </c>
      <c r="G693" t="s">
        <v>40</v>
      </c>
      <c r="H693" t="s">
        <v>30</v>
      </c>
      <c r="I693">
        <v>60</v>
      </c>
      <c r="J693">
        <v>20</v>
      </c>
      <c r="K693">
        <v>4.4</v>
      </c>
      <c r="M693">
        <v>1.6</v>
      </c>
      <c r="O693">
        <v>66</v>
      </c>
      <c r="P693">
        <v>97</v>
      </c>
      <c r="S693">
        <v>1</v>
      </c>
      <c r="T693">
        <v>3</v>
      </c>
      <c r="U693">
        <v>5.4</v>
      </c>
      <c r="V693">
        <v>10.3</v>
      </c>
      <c r="W693">
        <v>502</v>
      </c>
      <c r="X693">
        <v>30</v>
      </c>
      <c r="Y693" t="s">
        <v>213</v>
      </c>
    </row>
    <row r="694" spans="1:25">
      <c r="A694" t="s">
        <v>1426</v>
      </c>
      <c r="B694" s="2" t="str">
        <f>Hyperlink("https://www.diodes.com/datasheet/download/DMN6066SSS.pdf")</f>
        <v>https://www.diodes.com/datasheet/download/DMN6066SSS.pdf</v>
      </c>
      <c r="C694" t="str">
        <f>Hyperlink("https://www.diodes.com/part/view/DMN6066SSS","DMN6066SSS")</f>
        <v>DMN6066SSS</v>
      </c>
      <c r="D694" t="s">
        <v>1384</v>
      </c>
      <c r="E694" t="s">
        <v>27</v>
      </c>
      <c r="F694" t="s">
        <v>28</v>
      </c>
      <c r="G694" t="s">
        <v>29</v>
      </c>
      <c r="H694" t="s">
        <v>30</v>
      </c>
      <c r="I694">
        <v>60</v>
      </c>
      <c r="J694">
        <v>20</v>
      </c>
      <c r="K694">
        <v>3.7</v>
      </c>
      <c r="M694">
        <v>1.56</v>
      </c>
      <c r="O694">
        <v>66</v>
      </c>
      <c r="P694">
        <v>97</v>
      </c>
      <c r="T694">
        <v>3</v>
      </c>
      <c r="U694">
        <v>5.4</v>
      </c>
      <c r="V694">
        <v>10.3</v>
      </c>
      <c r="W694">
        <v>502</v>
      </c>
      <c r="Y694" t="s">
        <v>213</v>
      </c>
    </row>
    <row r="695" spans="1:25">
      <c r="A695" t="s">
        <v>1427</v>
      </c>
      <c r="B695" s="2" t="str">
        <f>Hyperlink("https://www.diodes.com/datasheet/download/DMN6068LK3.pdf")</f>
        <v>https://www.diodes.com/datasheet/download/DMN6068LK3.pdf</v>
      </c>
      <c r="C695" t="str">
        <f>Hyperlink("https://www.diodes.com/part/view/DMN6068LK3","DMN6068LK3")</f>
        <v>DMN6068LK3</v>
      </c>
      <c r="D695" t="s">
        <v>1384</v>
      </c>
      <c r="E695" t="s">
        <v>27</v>
      </c>
      <c r="F695" t="s">
        <v>28</v>
      </c>
      <c r="G695" t="s">
        <v>29</v>
      </c>
      <c r="H695" t="s">
        <v>30</v>
      </c>
      <c r="I695">
        <v>60</v>
      </c>
      <c r="J695">
        <v>20</v>
      </c>
      <c r="K695">
        <v>6</v>
      </c>
      <c r="M695">
        <v>4.12</v>
      </c>
      <c r="O695">
        <v>68</v>
      </c>
      <c r="P695">
        <v>100</v>
      </c>
      <c r="T695">
        <v>3</v>
      </c>
      <c r="U695">
        <v>5.55</v>
      </c>
      <c r="V695">
        <v>10.3</v>
      </c>
      <c r="W695">
        <v>502</v>
      </c>
      <c r="Y695" t="s">
        <v>681</v>
      </c>
    </row>
    <row r="696" spans="1:25">
      <c r="A696" t="s">
        <v>1428</v>
      </c>
      <c r="B696" s="2" t="str">
        <f>Hyperlink("https://www.diodes.com/datasheet/download/DMN6068LK3Q.pdf")</f>
        <v>https://www.diodes.com/datasheet/download/DMN6068LK3Q.pdf</v>
      </c>
      <c r="C696" t="str">
        <f>Hyperlink("https://www.diodes.com/part/view/DMN6068LK3Q","DMN6068LK3Q")</f>
        <v>DMN6068LK3Q</v>
      </c>
      <c r="D696" t="s">
        <v>1384</v>
      </c>
      <c r="E696" t="s">
        <v>27</v>
      </c>
      <c r="F696" t="s">
        <v>37</v>
      </c>
      <c r="G696" t="s">
        <v>29</v>
      </c>
      <c r="H696" t="s">
        <v>30</v>
      </c>
      <c r="I696">
        <v>60</v>
      </c>
      <c r="J696">
        <v>20</v>
      </c>
      <c r="K696">
        <v>6</v>
      </c>
      <c r="M696">
        <v>4.12</v>
      </c>
      <c r="O696">
        <v>68</v>
      </c>
      <c r="P696">
        <v>100</v>
      </c>
      <c r="T696">
        <v>3</v>
      </c>
      <c r="U696">
        <v>5.55</v>
      </c>
      <c r="V696">
        <v>10.3</v>
      </c>
      <c r="W696">
        <v>502</v>
      </c>
      <c r="X696">
        <v>30</v>
      </c>
      <c r="Y696" t="s">
        <v>681</v>
      </c>
    </row>
    <row r="697" spans="1:25">
      <c r="A697" t="s">
        <v>1429</v>
      </c>
      <c r="B697" s="2" t="str">
        <f>Hyperlink("https://www.diodes.com/datasheet/download/DMN6068SE.pdf")</f>
        <v>https://www.diodes.com/datasheet/download/DMN6068SE.pdf</v>
      </c>
      <c r="C697" t="str">
        <f>Hyperlink("https://www.diodes.com/part/view/DMN6068SE","DMN6068SE")</f>
        <v>DMN6068SE</v>
      </c>
      <c r="D697" t="s">
        <v>26</v>
      </c>
      <c r="E697" t="s">
        <v>30</v>
      </c>
      <c r="F697" t="s">
        <v>28</v>
      </c>
      <c r="G697" t="s">
        <v>29</v>
      </c>
      <c r="H697" t="s">
        <v>30</v>
      </c>
      <c r="I697">
        <v>60</v>
      </c>
      <c r="J697">
        <v>20</v>
      </c>
      <c r="K697">
        <v>4.1</v>
      </c>
      <c r="M697">
        <v>2</v>
      </c>
      <c r="O697">
        <v>68</v>
      </c>
      <c r="P697">
        <v>100</v>
      </c>
      <c r="T697">
        <v>3</v>
      </c>
      <c r="U697">
        <v>5.55</v>
      </c>
      <c r="V697">
        <v>10.3</v>
      </c>
      <c r="W697">
        <v>502</v>
      </c>
      <c r="Y697" t="s">
        <v>820</v>
      </c>
    </row>
    <row r="698" spans="1:25">
      <c r="A698" t="s">
        <v>1430</v>
      </c>
      <c r="B698" s="2" t="str">
        <f>Hyperlink("https://www.diodes.com/datasheet/download/DMN6068SEQ.pdf")</f>
        <v>https://www.diodes.com/datasheet/download/DMN6068SEQ.pdf</v>
      </c>
      <c r="C698" t="str">
        <f>Hyperlink("https://www.diodes.com/part/view/DMN6068SEQ","DMN6068SEQ")</f>
        <v>DMN6068SEQ</v>
      </c>
      <c r="D698" t="s">
        <v>26</v>
      </c>
      <c r="E698" t="s">
        <v>27</v>
      </c>
      <c r="F698" t="s">
        <v>37</v>
      </c>
      <c r="G698" t="s">
        <v>29</v>
      </c>
      <c r="H698" t="s">
        <v>30</v>
      </c>
      <c r="I698">
        <v>60</v>
      </c>
      <c r="J698">
        <v>20</v>
      </c>
      <c r="K698">
        <v>4.1</v>
      </c>
      <c r="M698">
        <v>2</v>
      </c>
      <c r="O698">
        <v>68</v>
      </c>
      <c r="P698">
        <v>100</v>
      </c>
      <c r="T698">
        <v>3</v>
      </c>
      <c r="U698">
        <v>5.55</v>
      </c>
      <c r="V698">
        <v>10.3</v>
      </c>
      <c r="W698">
        <v>502</v>
      </c>
      <c r="Y698" t="s">
        <v>820</v>
      </c>
    </row>
    <row r="699" spans="1:25">
      <c r="A699" t="s">
        <v>1431</v>
      </c>
      <c r="B699" s="2" t="str">
        <f>Hyperlink("https://www.diodes.com/datasheet/download/DMN6069SE.pdf")</f>
        <v>https://www.diodes.com/datasheet/download/DMN6069SE.pdf</v>
      </c>
      <c r="C699" t="str">
        <f>Hyperlink("https://www.diodes.com/part/view/DMN6069SE","DMN6069SE")</f>
        <v>DMN6069SE</v>
      </c>
      <c r="D699" t="s">
        <v>26</v>
      </c>
      <c r="E699" t="s">
        <v>27</v>
      </c>
      <c r="F699" t="s">
        <v>28</v>
      </c>
      <c r="G699" t="s">
        <v>29</v>
      </c>
      <c r="H699" t="s">
        <v>30</v>
      </c>
      <c r="I699">
        <v>60</v>
      </c>
      <c r="J699">
        <v>20</v>
      </c>
      <c r="K699">
        <v>4.3</v>
      </c>
      <c r="M699">
        <v>2.2</v>
      </c>
      <c r="O699">
        <v>69</v>
      </c>
      <c r="P699">
        <v>100</v>
      </c>
      <c r="T699">
        <v>3</v>
      </c>
      <c r="U699">
        <v>7.2</v>
      </c>
      <c r="V699">
        <v>16</v>
      </c>
      <c r="W699">
        <v>825</v>
      </c>
      <c r="Y699" t="s">
        <v>820</v>
      </c>
    </row>
    <row r="700" spans="1:25">
      <c r="A700" t="s">
        <v>1432</v>
      </c>
      <c r="B700" s="2" t="str">
        <f>Hyperlink("https://www.diodes.com/datasheet/download/DMN6069SEQ.pdf")</f>
        <v>https://www.diodes.com/datasheet/download/DMN6069SEQ.pdf</v>
      </c>
      <c r="C700" t="str">
        <f>Hyperlink("https://www.diodes.com/part/view/DMN6069SEQ","DMN6069SEQ")</f>
        <v>DMN6069SEQ</v>
      </c>
      <c r="D700" t="s">
        <v>1399</v>
      </c>
      <c r="E700" t="s">
        <v>27</v>
      </c>
      <c r="F700" t="s">
        <v>37</v>
      </c>
      <c r="G700" t="s">
        <v>29</v>
      </c>
      <c r="H700" t="s">
        <v>30</v>
      </c>
      <c r="I700">
        <v>60</v>
      </c>
      <c r="J700">
        <v>20</v>
      </c>
      <c r="K700">
        <v>4.3</v>
      </c>
      <c r="L700">
        <v>10</v>
      </c>
      <c r="M700">
        <v>2.2</v>
      </c>
      <c r="N700">
        <v>11</v>
      </c>
      <c r="O700">
        <v>69</v>
      </c>
      <c r="P700">
        <v>100</v>
      </c>
      <c r="S700">
        <v>1</v>
      </c>
      <c r="T700">
        <v>3</v>
      </c>
      <c r="U700">
        <v>7.2</v>
      </c>
      <c r="V700">
        <v>16</v>
      </c>
      <c r="W700">
        <v>825</v>
      </c>
      <c r="X700">
        <v>30</v>
      </c>
      <c r="Y700" t="s">
        <v>820</v>
      </c>
    </row>
    <row r="701" spans="1:25">
      <c r="A701" t="s">
        <v>1433</v>
      </c>
      <c r="B701" s="2" t="str">
        <f>Hyperlink("https://www.diodes.com/datasheet/download/DMN6069SFG.pdf")</f>
        <v>https://www.diodes.com/datasheet/download/DMN6069SFG.pdf</v>
      </c>
      <c r="C701" t="str">
        <f>Hyperlink("https://www.diodes.com/part/view/DMN6069SFG","DMN6069SFG")</f>
        <v>DMN6069SFG</v>
      </c>
      <c r="D701" t="s">
        <v>26</v>
      </c>
      <c r="E701" t="s">
        <v>27</v>
      </c>
      <c r="F701" t="s">
        <v>28</v>
      </c>
      <c r="G701" t="s">
        <v>29</v>
      </c>
      <c r="H701" t="s">
        <v>30</v>
      </c>
      <c r="I701">
        <v>60</v>
      </c>
      <c r="J701">
        <v>20</v>
      </c>
      <c r="K701">
        <v>5.6</v>
      </c>
      <c r="L701">
        <v>18</v>
      </c>
      <c r="M701">
        <v>2.4</v>
      </c>
      <c r="O701">
        <v>50</v>
      </c>
      <c r="P701">
        <v>63</v>
      </c>
      <c r="T701">
        <v>3</v>
      </c>
      <c r="U701">
        <v>6.4</v>
      </c>
      <c r="V701">
        <v>14</v>
      </c>
      <c r="W701">
        <v>740</v>
      </c>
      <c r="X701">
        <v>30</v>
      </c>
      <c r="Y701" t="s">
        <v>718</v>
      </c>
    </row>
    <row r="702" spans="1:25">
      <c r="A702" t="s">
        <v>1434</v>
      </c>
      <c r="B702" s="2" t="str">
        <f>Hyperlink("https://www.diodes.com/datasheet/download/DMN6069SFGQ.pdf")</f>
        <v>https://www.diodes.com/datasheet/download/DMN6069SFGQ.pdf</v>
      </c>
      <c r="C702" t="str">
        <f>Hyperlink("https://www.diodes.com/part/view/DMN6069SFGQ","DMN6069SFGQ")</f>
        <v>DMN6069SFGQ</v>
      </c>
      <c r="D702" t="s">
        <v>26</v>
      </c>
      <c r="E702" t="s">
        <v>27</v>
      </c>
      <c r="F702" t="s">
        <v>37</v>
      </c>
      <c r="G702" t="s">
        <v>29</v>
      </c>
      <c r="H702" t="s">
        <v>30</v>
      </c>
      <c r="I702">
        <v>60</v>
      </c>
      <c r="J702">
        <v>20</v>
      </c>
      <c r="K702">
        <v>5.6</v>
      </c>
      <c r="L702">
        <v>18</v>
      </c>
      <c r="M702">
        <v>2.4</v>
      </c>
      <c r="O702">
        <v>50</v>
      </c>
      <c r="P702">
        <v>63</v>
      </c>
      <c r="T702">
        <v>3</v>
      </c>
      <c r="U702">
        <v>6.4</v>
      </c>
      <c r="V702">
        <v>14</v>
      </c>
      <c r="W702">
        <v>740</v>
      </c>
      <c r="X702">
        <v>30</v>
      </c>
      <c r="Y702" t="s">
        <v>718</v>
      </c>
    </row>
    <row r="703" spans="1:25">
      <c r="A703" t="s">
        <v>1435</v>
      </c>
      <c r="B703" s="2" t="str">
        <f>Hyperlink("https://www.diodes.com/datasheet/download/DMN6069SFVW.pdf")</f>
        <v>https://www.diodes.com/datasheet/download/DMN6069SFVW.pdf</v>
      </c>
      <c r="C703" t="str">
        <f>Hyperlink("https://www.diodes.com/part/view/DMN6069SFVW","DMN6069SFVW")</f>
        <v>DMN6069SFVW</v>
      </c>
      <c r="D703" t="s">
        <v>1436</v>
      </c>
      <c r="E703" t="s">
        <v>27</v>
      </c>
      <c r="F703" t="s">
        <v>28</v>
      </c>
      <c r="G703" t="s">
        <v>29</v>
      </c>
      <c r="H703" t="s">
        <v>30</v>
      </c>
      <c r="I703">
        <v>60</v>
      </c>
      <c r="J703">
        <v>20</v>
      </c>
      <c r="K703">
        <v>4</v>
      </c>
      <c r="M703">
        <v>2.5</v>
      </c>
      <c r="O703">
        <v>69</v>
      </c>
      <c r="P703">
        <v>100</v>
      </c>
      <c r="T703">
        <v>3</v>
      </c>
      <c r="U703">
        <v>6.4</v>
      </c>
      <c r="V703">
        <v>14</v>
      </c>
      <c r="Y703" t="s">
        <v>718</v>
      </c>
    </row>
    <row r="704" spans="1:25">
      <c r="A704" t="s">
        <v>1437</v>
      </c>
      <c r="B704" s="2" t="str">
        <f>Hyperlink("https://www.diodes.com/datasheet/download/DMN6069SFVWQ.pdf")</f>
        <v>https://www.diodes.com/datasheet/download/DMN6069SFVWQ.pdf</v>
      </c>
      <c r="C704" t="str">
        <f>Hyperlink("https://www.diodes.com/part/view/DMN6069SFVWQ","DMN6069SFVWQ")</f>
        <v>DMN6069SFVWQ</v>
      </c>
      <c r="D704" t="s">
        <v>1436</v>
      </c>
      <c r="E704" t="s">
        <v>27</v>
      </c>
      <c r="F704" t="s">
        <v>37</v>
      </c>
      <c r="G704" t="s">
        <v>29</v>
      </c>
      <c r="H704" t="s">
        <v>30</v>
      </c>
      <c r="I704">
        <v>60</v>
      </c>
      <c r="J704">
        <v>20</v>
      </c>
      <c r="K704">
        <v>4</v>
      </c>
      <c r="M704">
        <v>2.5</v>
      </c>
      <c r="O704">
        <v>69</v>
      </c>
      <c r="P704">
        <v>100</v>
      </c>
      <c r="S704">
        <v>1</v>
      </c>
      <c r="T704">
        <v>3</v>
      </c>
      <c r="U704">
        <v>6.4</v>
      </c>
      <c r="V704">
        <v>14</v>
      </c>
      <c r="Y704" t="s">
        <v>718</v>
      </c>
    </row>
    <row r="705" spans="1:25">
      <c r="A705" t="s">
        <v>1438</v>
      </c>
      <c r="B705" s="2" t="str">
        <f>Hyperlink("https://www.diodes.com/datasheet/download/DMN6070LCA6.pdf")</f>
        <v>https://www.diodes.com/datasheet/download/DMN6070LCA6.pdf</v>
      </c>
      <c r="C705" t="str">
        <f>Hyperlink("https://www.diodes.com/part/view/DMN6070LCA6","DMN6070LCA6")</f>
        <v>DMN6070LCA6</v>
      </c>
      <c r="D705" t="s">
        <v>1399</v>
      </c>
      <c r="E705" t="s">
        <v>30</v>
      </c>
      <c r="F705" t="s">
        <v>28</v>
      </c>
      <c r="G705" t="s">
        <v>29</v>
      </c>
      <c r="H705" t="s">
        <v>27</v>
      </c>
      <c r="I705">
        <v>20</v>
      </c>
      <c r="J705">
        <v>60</v>
      </c>
      <c r="K705">
        <v>3.68</v>
      </c>
      <c r="M705">
        <v>1.8</v>
      </c>
      <c r="P705">
        <v>85</v>
      </c>
      <c r="Q705">
        <v>95</v>
      </c>
      <c r="S705">
        <v>0.4</v>
      </c>
      <c r="T705">
        <v>1</v>
      </c>
      <c r="U705">
        <v>18.7</v>
      </c>
      <c r="W705">
        <v>1613</v>
      </c>
      <c r="X705">
        <v>30</v>
      </c>
      <c r="Y705" t="s">
        <v>1439</v>
      </c>
    </row>
    <row r="706" spans="1:25">
      <c r="A706" t="s">
        <v>1440</v>
      </c>
      <c r="B706" s="2" t="str">
        <f>Hyperlink("https://www.diodes.com/datasheet/download/DMN6070SFCL.pdf")</f>
        <v>https://www.diodes.com/datasheet/download/DMN6070SFCL.pdf</v>
      </c>
      <c r="C706" t="str">
        <f>Hyperlink("https://www.diodes.com/part/view/DMN6070SFCL","DMN6070SFCL")</f>
        <v>DMN6070SFCL</v>
      </c>
      <c r="D706" t="s">
        <v>26</v>
      </c>
      <c r="E706" t="s">
        <v>27</v>
      </c>
      <c r="F706" t="s">
        <v>28</v>
      </c>
      <c r="G706" t="s">
        <v>29</v>
      </c>
      <c r="H706" t="s">
        <v>30</v>
      </c>
      <c r="I706">
        <v>60</v>
      </c>
      <c r="J706">
        <v>20</v>
      </c>
      <c r="K706">
        <v>3</v>
      </c>
      <c r="M706">
        <v>1.8</v>
      </c>
      <c r="O706">
        <v>85</v>
      </c>
      <c r="P706">
        <v>120</v>
      </c>
      <c r="T706">
        <v>3</v>
      </c>
      <c r="U706">
        <v>5.6</v>
      </c>
      <c r="V706">
        <v>12.3</v>
      </c>
      <c r="W706" t="s">
        <v>1441</v>
      </c>
      <c r="Y706" t="s">
        <v>938</v>
      </c>
    </row>
    <row r="707" spans="1:25">
      <c r="A707" t="s">
        <v>1442</v>
      </c>
      <c r="B707" s="2" t="str">
        <f>Hyperlink("https://www.diodes.com/datasheet/download/DMN6070SSD.pdf")</f>
        <v>https://www.diodes.com/datasheet/download/DMN6070SSD.pdf</v>
      </c>
      <c r="C707" t="str">
        <f>Hyperlink("https://www.diodes.com/part/view/DMN6070SSD","DMN6070SSD")</f>
        <v>DMN6070SSD</v>
      </c>
      <c r="D707" t="s">
        <v>39</v>
      </c>
      <c r="E707" t="s">
        <v>27</v>
      </c>
      <c r="F707" t="s">
        <v>28</v>
      </c>
      <c r="G707" t="s">
        <v>40</v>
      </c>
      <c r="H707" t="s">
        <v>30</v>
      </c>
      <c r="I707">
        <v>60</v>
      </c>
      <c r="J707">
        <v>20</v>
      </c>
      <c r="K707">
        <v>3.3</v>
      </c>
      <c r="M707">
        <v>1.5</v>
      </c>
      <c r="O707">
        <v>80</v>
      </c>
      <c r="P707">
        <v>100</v>
      </c>
      <c r="T707">
        <v>3</v>
      </c>
      <c r="U707">
        <v>5.6</v>
      </c>
      <c r="V707">
        <v>12.3</v>
      </c>
      <c r="W707">
        <v>588</v>
      </c>
      <c r="Y707" t="s">
        <v>213</v>
      </c>
    </row>
    <row r="708" spans="1:25">
      <c r="A708" t="s">
        <v>1443</v>
      </c>
      <c r="B708" s="2" t="str">
        <f>Hyperlink("https://www.diodes.com/datasheet/download/DMN6070SSDQ.pdf")</f>
        <v>https://www.diodes.com/datasheet/download/DMN6070SSDQ.pdf</v>
      </c>
      <c r="C708" t="str">
        <f>Hyperlink("https://www.diodes.com/part/view/DMN6070SSDQ","DMN6070SSDQ")</f>
        <v>DMN6070SSDQ</v>
      </c>
      <c r="D708" t="s">
        <v>46</v>
      </c>
      <c r="E708" t="s">
        <v>27</v>
      </c>
      <c r="F708" t="s">
        <v>37</v>
      </c>
      <c r="G708" t="s">
        <v>40</v>
      </c>
      <c r="H708" t="s">
        <v>30</v>
      </c>
      <c r="I708">
        <v>60</v>
      </c>
      <c r="J708">
        <v>20</v>
      </c>
      <c r="K708">
        <v>3.3</v>
      </c>
      <c r="M708">
        <v>1.2</v>
      </c>
      <c r="O708">
        <v>87</v>
      </c>
      <c r="P708">
        <v>100</v>
      </c>
      <c r="T708">
        <v>3</v>
      </c>
      <c r="U708">
        <v>5.6</v>
      </c>
      <c r="V708">
        <v>12.3</v>
      </c>
      <c r="W708">
        <v>588</v>
      </c>
      <c r="X708">
        <v>30</v>
      </c>
      <c r="Y708" t="s">
        <v>213</v>
      </c>
    </row>
    <row r="709" spans="1:25">
      <c r="A709" t="s">
        <v>1444</v>
      </c>
      <c r="B709" s="2" t="str">
        <f>Hyperlink("https://www.diodes.com/datasheet/download/DMN6070SY.pdf")</f>
        <v>https://www.diodes.com/datasheet/download/DMN6070SY.pdf</v>
      </c>
      <c r="C709" t="str">
        <f>Hyperlink("https://www.diodes.com/part/view/DMN6070SY","DMN6070SY")</f>
        <v>DMN6070SY</v>
      </c>
      <c r="D709" t="s">
        <v>1384</v>
      </c>
      <c r="E709" t="s">
        <v>30</v>
      </c>
      <c r="F709" t="s">
        <v>28</v>
      </c>
      <c r="G709" t="s">
        <v>29</v>
      </c>
      <c r="H709" t="s">
        <v>30</v>
      </c>
      <c r="I709">
        <v>60</v>
      </c>
      <c r="J709">
        <v>20</v>
      </c>
      <c r="K709">
        <v>4.1</v>
      </c>
      <c r="M709">
        <v>2.1</v>
      </c>
      <c r="O709">
        <v>85</v>
      </c>
      <c r="P709">
        <v>110</v>
      </c>
      <c r="T709">
        <v>3</v>
      </c>
      <c r="U709">
        <v>5.6</v>
      </c>
      <c r="V709">
        <v>12.3</v>
      </c>
      <c r="W709">
        <v>588</v>
      </c>
      <c r="X709">
        <v>30</v>
      </c>
      <c r="Y709" t="s">
        <v>1445</v>
      </c>
    </row>
    <row r="710" spans="1:25">
      <c r="A710" t="s">
        <v>1446</v>
      </c>
      <c r="B710" s="2" t="str">
        <f>Hyperlink("https://www.diodes.com/datasheet/download/DMN6075S.pdf")</f>
        <v>https://www.diodes.com/datasheet/download/DMN6075S.pdf</v>
      </c>
      <c r="C710" t="str">
        <f>Hyperlink("https://www.diodes.com/part/view/DMN6075S","DMN6075S")</f>
        <v>DMN6075S</v>
      </c>
      <c r="D710" t="s">
        <v>1384</v>
      </c>
      <c r="E710" t="s">
        <v>27</v>
      </c>
      <c r="F710" t="s">
        <v>28</v>
      </c>
      <c r="G710" t="s">
        <v>29</v>
      </c>
      <c r="H710" t="s">
        <v>30</v>
      </c>
      <c r="I710">
        <v>60</v>
      </c>
      <c r="J710">
        <v>20</v>
      </c>
      <c r="K710">
        <v>2.5</v>
      </c>
      <c r="M710">
        <v>1.15</v>
      </c>
      <c r="O710">
        <v>85</v>
      </c>
      <c r="P710">
        <v>120</v>
      </c>
      <c r="T710">
        <v>3</v>
      </c>
      <c r="U710">
        <v>5.6</v>
      </c>
      <c r="V710">
        <v>12.3</v>
      </c>
      <c r="W710" t="s">
        <v>1441</v>
      </c>
      <c r="Y710" t="s">
        <v>35</v>
      </c>
    </row>
    <row r="711" spans="1:25">
      <c r="A711" t="s">
        <v>1447</v>
      </c>
      <c r="B711" s="2" t="str">
        <f>Hyperlink("https://www.diodes.com/datasheet/download/DMN6075SQ.pdf")</f>
        <v>https://www.diodes.com/datasheet/download/DMN6075SQ.pdf</v>
      </c>
      <c r="C711" t="str">
        <f>Hyperlink("https://www.diodes.com/part/view/DMN6075SQ","DMN6075SQ")</f>
        <v>DMN6075SQ</v>
      </c>
      <c r="D711" t="s">
        <v>1384</v>
      </c>
      <c r="E711" t="s">
        <v>27</v>
      </c>
      <c r="F711" t="s">
        <v>37</v>
      </c>
      <c r="G711" t="s">
        <v>29</v>
      </c>
      <c r="H711" t="s">
        <v>30</v>
      </c>
      <c r="I711">
        <v>60</v>
      </c>
      <c r="J711">
        <v>20</v>
      </c>
      <c r="K711">
        <v>2.5</v>
      </c>
      <c r="M711">
        <v>1.15</v>
      </c>
      <c r="O711">
        <v>85</v>
      </c>
      <c r="P711">
        <v>120</v>
      </c>
      <c r="T711">
        <v>3</v>
      </c>
      <c r="U711">
        <v>5.6</v>
      </c>
      <c r="V711">
        <v>12.3</v>
      </c>
      <c r="W711">
        <v>606</v>
      </c>
      <c r="X711">
        <v>20</v>
      </c>
      <c r="Y711" t="s">
        <v>35</v>
      </c>
    </row>
    <row r="712" spans="1:25">
      <c r="A712" t="s">
        <v>1448</v>
      </c>
      <c r="B712" s="2" t="str">
        <f>Hyperlink("https://www.diodes.com/datasheet/download/DMN60H080DS.pdf")</f>
        <v>https://www.diodes.com/datasheet/download/DMN60H080DS.pdf</v>
      </c>
      <c r="C712" t="str">
        <f>Hyperlink("https://www.diodes.com/part/view/DMN60H080DS","DMN60H080DS")</f>
        <v>DMN60H080DS</v>
      </c>
      <c r="D712" t="s">
        <v>26</v>
      </c>
      <c r="E712" t="s">
        <v>30</v>
      </c>
      <c r="F712" t="s">
        <v>28</v>
      </c>
      <c r="G712" t="s">
        <v>29</v>
      </c>
      <c r="H712" t="s">
        <v>27</v>
      </c>
      <c r="I712">
        <v>600</v>
      </c>
      <c r="J712">
        <v>20</v>
      </c>
      <c r="K712">
        <v>0.08</v>
      </c>
      <c r="M712">
        <v>1.1</v>
      </c>
      <c r="O712">
        <v>100000</v>
      </c>
      <c r="P712">
        <v>290000</v>
      </c>
      <c r="T712">
        <v>3</v>
      </c>
      <c r="V712">
        <v>1.7</v>
      </c>
      <c r="W712">
        <v>25</v>
      </c>
      <c r="X712">
        <v>25</v>
      </c>
      <c r="Y712" t="s">
        <v>35</v>
      </c>
    </row>
    <row r="713" spans="1:25">
      <c r="A713" t="s">
        <v>1449</v>
      </c>
      <c r="B713" s="2" t="str">
        <f>Hyperlink("https://www.diodes.com/datasheet/download/DMN6140L.pdf")</f>
        <v>https://www.diodes.com/datasheet/download/DMN6140L.pdf</v>
      </c>
      <c r="C713" t="str">
        <f>Hyperlink("https://www.diodes.com/part/view/DMN6140L","DMN6140L")</f>
        <v>DMN6140L</v>
      </c>
      <c r="D713" t="s">
        <v>1384</v>
      </c>
      <c r="E713" t="s">
        <v>27</v>
      </c>
      <c r="F713" t="s">
        <v>28</v>
      </c>
      <c r="G713" t="s">
        <v>29</v>
      </c>
      <c r="H713" t="s">
        <v>30</v>
      </c>
      <c r="I713">
        <v>60</v>
      </c>
      <c r="J713">
        <v>20</v>
      </c>
      <c r="K713">
        <v>2.3</v>
      </c>
      <c r="M713">
        <v>1.3</v>
      </c>
      <c r="O713">
        <v>140</v>
      </c>
      <c r="P713">
        <v>170</v>
      </c>
      <c r="T713">
        <v>3</v>
      </c>
      <c r="U713" t="s">
        <v>1450</v>
      </c>
      <c r="V713">
        <v>8.6</v>
      </c>
      <c r="W713" t="s">
        <v>1451</v>
      </c>
      <c r="Y713" t="s">
        <v>35</v>
      </c>
    </row>
    <row r="714" spans="1:25">
      <c r="A714" t="s">
        <v>1452</v>
      </c>
      <c r="B714" s="2" t="str">
        <f>Hyperlink("https://www.diodes.com/datasheet/download/DMN6140LQ.pdf")</f>
        <v>https://www.diodes.com/datasheet/download/DMN6140LQ.pdf</v>
      </c>
      <c r="C714" t="str">
        <f>Hyperlink("https://www.diodes.com/part/view/DMN6140LQ","DMN6140LQ")</f>
        <v>DMN6140LQ</v>
      </c>
      <c r="D714" t="s">
        <v>1384</v>
      </c>
      <c r="E714" t="s">
        <v>27</v>
      </c>
      <c r="F714" t="s">
        <v>37</v>
      </c>
      <c r="G714" t="s">
        <v>29</v>
      </c>
      <c r="H714" t="s">
        <v>30</v>
      </c>
      <c r="I714">
        <v>60</v>
      </c>
      <c r="J714">
        <v>20</v>
      </c>
      <c r="K714">
        <v>2.3</v>
      </c>
      <c r="M714">
        <v>1.3</v>
      </c>
      <c r="O714">
        <v>140</v>
      </c>
      <c r="P714">
        <v>170</v>
      </c>
      <c r="T714">
        <v>3</v>
      </c>
      <c r="U714" t="s">
        <v>1450</v>
      </c>
      <c r="V714">
        <v>8.6</v>
      </c>
      <c r="W714">
        <v>315</v>
      </c>
      <c r="X714">
        <v>40</v>
      </c>
      <c r="Y714" t="s">
        <v>35</v>
      </c>
    </row>
    <row r="715" spans="1:25">
      <c r="A715" t="s">
        <v>1453</v>
      </c>
      <c r="B715" s="2" t="str">
        <f>Hyperlink("https://www.diodes.com/datasheet/download/DMN61D8L.pdf")</f>
        <v>https://www.diodes.com/datasheet/download/DMN61D8L.pdf</v>
      </c>
      <c r="C715" t="str">
        <f>Hyperlink("https://www.diodes.com/part/view/DMN61D8L","DMN61D8L")</f>
        <v>DMN61D8L</v>
      </c>
      <c r="D715" t="s">
        <v>26</v>
      </c>
      <c r="E715" t="s">
        <v>27</v>
      </c>
      <c r="F715" t="s">
        <v>28</v>
      </c>
      <c r="G715" t="s">
        <v>29</v>
      </c>
      <c r="H715" t="s">
        <v>27</v>
      </c>
      <c r="I715">
        <v>60</v>
      </c>
      <c r="J715">
        <v>12</v>
      </c>
      <c r="K715">
        <v>0.47</v>
      </c>
      <c r="M715">
        <v>0.61</v>
      </c>
      <c r="P715" t="s">
        <v>1454</v>
      </c>
      <c r="Q715" t="s">
        <v>1455</v>
      </c>
      <c r="T715">
        <v>2</v>
      </c>
      <c r="U715" t="s">
        <v>1456</v>
      </c>
      <c r="W715">
        <v>12.9</v>
      </c>
      <c r="X715">
        <v>12</v>
      </c>
      <c r="Y715" t="s">
        <v>35</v>
      </c>
    </row>
    <row r="716" spans="1:25">
      <c r="A716" t="s">
        <v>1457</v>
      </c>
      <c r="B716" s="2" t="str">
        <f>Hyperlink("https://www.diodes.com/datasheet/download/DMN61D8LQ.pdf")</f>
        <v>https://www.diodes.com/datasheet/download/DMN61D8LQ.pdf</v>
      </c>
      <c r="C716" t="str">
        <f>Hyperlink("https://www.diodes.com/part/view/DMN61D8LQ","DMN61D8LQ")</f>
        <v>DMN61D8LQ</v>
      </c>
      <c r="D716" t="s">
        <v>1458</v>
      </c>
      <c r="E716" t="s">
        <v>27</v>
      </c>
      <c r="F716" t="s">
        <v>37</v>
      </c>
      <c r="G716" t="s">
        <v>29</v>
      </c>
      <c r="H716" t="s">
        <v>27</v>
      </c>
      <c r="I716">
        <v>60</v>
      </c>
      <c r="J716">
        <v>12</v>
      </c>
      <c r="K716">
        <v>0.47</v>
      </c>
      <c r="M716">
        <v>0.61</v>
      </c>
      <c r="P716" t="s">
        <v>1454</v>
      </c>
      <c r="Q716" t="s">
        <v>1455</v>
      </c>
      <c r="T716">
        <v>2</v>
      </c>
      <c r="U716" t="s">
        <v>1456</v>
      </c>
      <c r="W716">
        <v>12.9</v>
      </c>
      <c r="X716">
        <v>12</v>
      </c>
      <c r="Y716" t="s">
        <v>35</v>
      </c>
    </row>
    <row r="717" spans="1:25">
      <c r="A717" t="s">
        <v>1459</v>
      </c>
      <c r="B717" s="2" t="str">
        <f>Hyperlink("https://www.diodes.com/datasheet/download/DMN61D8LVT.pdf")</f>
        <v>https://www.diodes.com/datasheet/download/DMN61D8LVT.pdf</v>
      </c>
      <c r="C717" t="str">
        <f>Hyperlink("https://www.diodes.com/part/view/DMN61D8LVT","DMN61D8LVT")</f>
        <v>DMN61D8LVT</v>
      </c>
      <c r="D717" t="s">
        <v>39</v>
      </c>
      <c r="E717" t="s">
        <v>27</v>
      </c>
      <c r="F717" t="s">
        <v>28</v>
      </c>
      <c r="G717" t="s">
        <v>40</v>
      </c>
      <c r="H717" t="s">
        <v>27</v>
      </c>
      <c r="I717">
        <v>60</v>
      </c>
      <c r="J717">
        <v>12</v>
      </c>
      <c r="K717">
        <v>0.63</v>
      </c>
      <c r="M717">
        <v>1.09</v>
      </c>
      <c r="P717" t="s">
        <v>1454</v>
      </c>
      <c r="Q717" t="s">
        <v>1455</v>
      </c>
      <c r="T717">
        <v>2</v>
      </c>
      <c r="U717" t="s">
        <v>1456</v>
      </c>
      <c r="W717">
        <v>12.9</v>
      </c>
      <c r="X717">
        <v>12</v>
      </c>
      <c r="Y717" t="s">
        <v>183</v>
      </c>
    </row>
    <row r="718" spans="1:25">
      <c r="A718" t="s">
        <v>1460</v>
      </c>
      <c r="B718" s="2" t="str">
        <f>Hyperlink("https://www.diodes.com/datasheet/download/DMN61D8LVTQ.pdf")</f>
        <v>https://www.diodes.com/datasheet/download/DMN61D8LVTQ.pdf</v>
      </c>
      <c r="C718" t="str">
        <f>Hyperlink("https://www.diodes.com/part/view/DMN61D8LVTQ","DMN61D8LVTQ")</f>
        <v>DMN61D8LVTQ</v>
      </c>
      <c r="D718" t="s">
        <v>1458</v>
      </c>
      <c r="E718" t="s">
        <v>27</v>
      </c>
      <c r="F718" t="s">
        <v>37</v>
      </c>
      <c r="G718" t="s">
        <v>40</v>
      </c>
      <c r="H718" t="s">
        <v>27</v>
      </c>
      <c r="I718">
        <v>60</v>
      </c>
      <c r="J718">
        <v>12</v>
      </c>
      <c r="K718">
        <v>0.63</v>
      </c>
      <c r="M718">
        <v>1.09</v>
      </c>
      <c r="P718" t="s">
        <v>1454</v>
      </c>
      <c r="Q718" t="s">
        <v>1455</v>
      </c>
      <c r="T718">
        <v>2</v>
      </c>
      <c r="U718" t="s">
        <v>1456</v>
      </c>
      <c r="W718">
        <v>12.9</v>
      </c>
      <c r="X718">
        <v>12</v>
      </c>
      <c r="Y718" t="s">
        <v>183</v>
      </c>
    </row>
    <row r="719" spans="1:25">
      <c r="A719" t="s">
        <v>1461</v>
      </c>
      <c r="B719" s="2" t="str">
        <f>Hyperlink("https://www.diodes.com/datasheet/download/DMN61D9UDWQ.pdf")</f>
        <v>https://www.diodes.com/datasheet/download/DMN61D9UDWQ.pdf</v>
      </c>
      <c r="C719" t="str">
        <f>Hyperlink("https://www.diodes.com/part/view/DMN61D9UDWQ","DMN61D9UDWQ")</f>
        <v>DMN61D9UDWQ</v>
      </c>
      <c r="D719" t="s">
        <v>39</v>
      </c>
      <c r="E719" t="s">
        <v>27</v>
      </c>
      <c r="F719" t="s">
        <v>37</v>
      </c>
      <c r="G719" t="s">
        <v>40</v>
      </c>
      <c r="H719" t="s">
        <v>27</v>
      </c>
      <c r="I719">
        <v>60</v>
      </c>
      <c r="J719">
        <v>20</v>
      </c>
      <c r="K719">
        <v>0.318</v>
      </c>
      <c r="M719">
        <v>0.44</v>
      </c>
      <c r="P719" t="s">
        <v>1382</v>
      </c>
      <c r="Q719">
        <v>2500</v>
      </c>
      <c r="R719">
        <v>3500</v>
      </c>
      <c r="T719">
        <v>1</v>
      </c>
      <c r="U719">
        <v>0.6</v>
      </c>
      <c r="Y719" t="s">
        <v>42</v>
      </c>
    </row>
    <row r="720" spans="1:25">
      <c r="A720" t="s">
        <v>1462</v>
      </c>
      <c r="B720" s="2" t="str">
        <f>Hyperlink("https://www.diodes.com/datasheet/download/DMN62D0LFB.pdf")</f>
        <v>https://www.diodes.com/datasheet/download/DMN62D0LFB.pdf</v>
      </c>
      <c r="C720" t="str">
        <f>Hyperlink("https://www.diodes.com/part/view/DMN62D0LFB","DMN62D0LFB")</f>
        <v>DMN62D0LFB</v>
      </c>
      <c r="D720" t="s">
        <v>26</v>
      </c>
      <c r="E720" t="s">
        <v>27</v>
      </c>
      <c r="F720" t="s">
        <v>28</v>
      </c>
      <c r="G720" t="s">
        <v>29</v>
      </c>
      <c r="H720" t="s">
        <v>27</v>
      </c>
      <c r="I720">
        <v>60</v>
      </c>
      <c r="J720">
        <v>20</v>
      </c>
      <c r="K720">
        <v>0.1</v>
      </c>
      <c r="M720">
        <v>0.47</v>
      </c>
      <c r="P720">
        <v>2500</v>
      </c>
      <c r="Q720">
        <v>2500</v>
      </c>
      <c r="S720">
        <v>0.6</v>
      </c>
      <c r="T720">
        <v>1</v>
      </c>
      <c r="Y720" t="s">
        <v>846</v>
      </c>
    </row>
    <row r="721" spans="1:25">
      <c r="A721" t="s">
        <v>1463</v>
      </c>
      <c r="B721" s="2" t="str">
        <f>Hyperlink("https://www.diodes.com/datasheet/download/DMN62D0LFD.pdf")</f>
        <v>https://www.diodes.com/datasheet/download/DMN62D0LFD.pdf</v>
      </c>
      <c r="C721" t="str">
        <f>Hyperlink("https://www.diodes.com/part/view/DMN62D0LFD","DMN62D0LFD")</f>
        <v>DMN62D0LFD</v>
      </c>
      <c r="D721" t="s">
        <v>26</v>
      </c>
      <c r="E721" t="s">
        <v>30</v>
      </c>
      <c r="F721" t="s">
        <v>28</v>
      </c>
      <c r="G721" t="s">
        <v>29</v>
      </c>
      <c r="H721" t="s">
        <v>27</v>
      </c>
      <c r="I721">
        <v>60</v>
      </c>
      <c r="J721">
        <v>20</v>
      </c>
      <c r="K721">
        <v>0.31</v>
      </c>
      <c r="M721">
        <v>0.48</v>
      </c>
      <c r="P721" t="s">
        <v>1241</v>
      </c>
      <c r="Q721">
        <v>2500</v>
      </c>
      <c r="R721">
        <v>3000</v>
      </c>
      <c r="T721">
        <v>1</v>
      </c>
      <c r="U721">
        <v>0.5</v>
      </c>
      <c r="W721">
        <v>31</v>
      </c>
      <c r="X721">
        <v>25</v>
      </c>
      <c r="Y721" t="s">
        <v>1036</v>
      </c>
    </row>
    <row r="722" spans="1:25">
      <c r="A722" t="s">
        <v>1464</v>
      </c>
      <c r="B722" s="2" t="str">
        <f>Hyperlink("https://www.diodes.com/datasheet/download/DMN62D0SFD.pdf")</f>
        <v>https://www.diodes.com/datasheet/download/DMN62D0SFD.pdf</v>
      </c>
      <c r="C722" t="str">
        <f>Hyperlink("https://www.diodes.com/part/view/DMN62D0SFD","DMN62D0SFD")</f>
        <v>DMN62D0SFD</v>
      </c>
      <c r="D722" t="s">
        <v>26</v>
      </c>
      <c r="E722" t="s">
        <v>27</v>
      </c>
      <c r="F722" t="s">
        <v>28</v>
      </c>
      <c r="G722" t="s">
        <v>29</v>
      </c>
      <c r="H722" t="s">
        <v>27</v>
      </c>
      <c r="I722">
        <v>60</v>
      </c>
      <c r="J722">
        <v>20</v>
      </c>
      <c r="K722">
        <v>0.54</v>
      </c>
      <c r="M722">
        <v>0.89</v>
      </c>
      <c r="O722">
        <v>2000</v>
      </c>
      <c r="P722" t="s">
        <v>1380</v>
      </c>
      <c r="T722">
        <v>2.5</v>
      </c>
      <c r="U722">
        <v>0.39</v>
      </c>
      <c r="V722">
        <v>0.87</v>
      </c>
      <c r="W722" t="s">
        <v>1465</v>
      </c>
      <c r="Y722" t="s">
        <v>1029</v>
      </c>
    </row>
    <row r="723" spans="1:25">
      <c r="A723" t="s">
        <v>1466</v>
      </c>
      <c r="B723" s="2" t="str">
        <f>Hyperlink("https://www.diodes.com/datasheet/download/DMN62D0U.pdf")</f>
        <v>https://www.diodes.com/datasheet/download/DMN62D0U.pdf</v>
      </c>
      <c r="C723" t="str">
        <f>Hyperlink("https://www.diodes.com/part/view/DMN62D0U","DMN62D0U")</f>
        <v>DMN62D0U</v>
      </c>
      <c r="D723" t="s">
        <v>26</v>
      </c>
      <c r="E723" t="s">
        <v>27</v>
      </c>
      <c r="F723" t="s">
        <v>28</v>
      </c>
      <c r="G723" t="s">
        <v>29</v>
      </c>
      <c r="H723" t="s">
        <v>27</v>
      </c>
      <c r="I723">
        <v>60</v>
      </c>
      <c r="J723">
        <v>20</v>
      </c>
      <c r="K723">
        <v>0.38</v>
      </c>
      <c r="M723">
        <v>0.59</v>
      </c>
      <c r="P723">
        <v>2000</v>
      </c>
      <c r="Q723">
        <v>2500</v>
      </c>
      <c r="R723">
        <v>3000</v>
      </c>
      <c r="T723">
        <v>1</v>
      </c>
      <c r="U723">
        <v>0.5</v>
      </c>
      <c r="W723">
        <v>31</v>
      </c>
      <c r="X723">
        <v>30</v>
      </c>
      <c r="Y723" t="s">
        <v>35</v>
      </c>
    </row>
    <row r="724" spans="1:25">
      <c r="A724" t="s">
        <v>1467</v>
      </c>
      <c r="B724" s="2" t="str">
        <f>Hyperlink("https://www.diodes.com/datasheet/download/DMN62D0UDW.pdf")</f>
        <v>https://www.diodes.com/datasheet/download/DMN62D0UDW.pdf</v>
      </c>
      <c r="C724" t="str">
        <f>Hyperlink("https://www.diodes.com/part/view/DMN62D0UDW","DMN62D0UDW")</f>
        <v>DMN62D0UDW</v>
      </c>
      <c r="D724" t="s">
        <v>39</v>
      </c>
      <c r="E724" t="s">
        <v>27</v>
      </c>
      <c r="F724" t="s">
        <v>28</v>
      </c>
      <c r="G724" t="s">
        <v>40</v>
      </c>
      <c r="H724" t="s">
        <v>27</v>
      </c>
      <c r="I724">
        <v>60</v>
      </c>
      <c r="J724">
        <v>20</v>
      </c>
      <c r="K724">
        <v>0.35</v>
      </c>
      <c r="M724">
        <v>0.41</v>
      </c>
      <c r="P724">
        <v>2000</v>
      </c>
      <c r="Q724">
        <v>2500</v>
      </c>
      <c r="R724">
        <v>3000</v>
      </c>
      <c r="T724">
        <v>1</v>
      </c>
      <c r="U724">
        <v>0.5</v>
      </c>
      <c r="W724">
        <v>31</v>
      </c>
      <c r="X724">
        <v>31</v>
      </c>
      <c r="Y724" t="s">
        <v>103</v>
      </c>
    </row>
    <row r="725" spans="1:25">
      <c r="A725" t="s">
        <v>1468</v>
      </c>
      <c r="B725" s="2" t="str">
        <f>Hyperlink("https://www.diodes.com/datasheet/download/DMN62D0UDWQ.pdf")</f>
        <v>https://www.diodes.com/datasheet/download/DMN62D0UDWQ.pdf</v>
      </c>
      <c r="C725" t="str">
        <f>Hyperlink("https://www.diodes.com/part/view/DMN62D0UDWQ","DMN62D0UDWQ")</f>
        <v>DMN62D0UDWQ</v>
      </c>
      <c r="D725" t="s">
        <v>39</v>
      </c>
      <c r="E725" t="s">
        <v>27</v>
      </c>
      <c r="F725" t="s">
        <v>37</v>
      </c>
      <c r="G725" t="s">
        <v>40</v>
      </c>
      <c r="H725" t="s">
        <v>27</v>
      </c>
      <c r="I725">
        <v>60</v>
      </c>
      <c r="J725">
        <v>20</v>
      </c>
      <c r="K725">
        <v>0.35</v>
      </c>
      <c r="M725">
        <v>0.41</v>
      </c>
      <c r="P725">
        <v>2000</v>
      </c>
      <c r="Q725">
        <v>2500</v>
      </c>
      <c r="R725">
        <v>3500</v>
      </c>
      <c r="T725">
        <v>1.1</v>
      </c>
      <c r="U725">
        <v>0.5</v>
      </c>
      <c r="W725">
        <v>32</v>
      </c>
      <c r="X725">
        <v>30</v>
      </c>
      <c r="Y725" t="s">
        <v>42</v>
      </c>
    </row>
    <row r="726" spans="1:25">
      <c r="A726" t="s">
        <v>1469</v>
      </c>
      <c r="B726" s="2" t="str">
        <f>Hyperlink("https://www.diodes.com/datasheet/download/DMN62D0UT.pdf")</f>
        <v>https://www.diodes.com/datasheet/download/DMN62D0UT.pdf</v>
      </c>
      <c r="C726" t="str">
        <f>Hyperlink("https://www.diodes.com/part/view/DMN62D0UT","DMN62D0UT")</f>
        <v>DMN62D0UT</v>
      </c>
      <c r="D726" t="s">
        <v>26</v>
      </c>
      <c r="E726" t="s">
        <v>30</v>
      </c>
      <c r="F726" t="s">
        <v>28</v>
      </c>
      <c r="G726" t="s">
        <v>29</v>
      </c>
      <c r="H726" t="s">
        <v>27</v>
      </c>
      <c r="I726">
        <v>60</v>
      </c>
      <c r="J726">
        <v>20</v>
      </c>
      <c r="K726">
        <v>0.32</v>
      </c>
      <c r="M726">
        <v>0.34</v>
      </c>
      <c r="P726">
        <v>2000</v>
      </c>
      <c r="Q726">
        <v>2500</v>
      </c>
      <c r="R726">
        <v>3000</v>
      </c>
      <c r="T726">
        <v>1</v>
      </c>
      <c r="U726">
        <v>0.5</v>
      </c>
      <c r="W726">
        <v>32</v>
      </c>
      <c r="X726">
        <v>30</v>
      </c>
      <c r="Y726" t="s">
        <v>56</v>
      </c>
    </row>
    <row r="727" spans="1:25">
      <c r="A727" t="s">
        <v>1470</v>
      </c>
      <c r="B727" s="2" t="str">
        <f>Hyperlink("https://www.diodes.com/datasheet/download/DMN62D0UV.pdf")</f>
        <v>https://www.diodes.com/datasheet/download/DMN62D0UV.pdf</v>
      </c>
      <c r="C727" t="str">
        <f>Hyperlink("https://www.diodes.com/part/view/DMN62D0UV","DMN62D0UV")</f>
        <v>DMN62D0UV</v>
      </c>
      <c r="D727" t="s">
        <v>39</v>
      </c>
      <c r="E727" t="s">
        <v>30</v>
      </c>
      <c r="F727" t="s">
        <v>28</v>
      </c>
      <c r="G727" t="s">
        <v>29</v>
      </c>
      <c r="H727" t="s">
        <v>27</v>
      </c>
      <c r="I727">
        <v>60</v>
      </c>
      <c r="J727">
        <v>20</v>
      </c>
      <c r="K727">
        <v>0.49</v>
      </c>
      <c r="M727">
        <v>0.74</v>
      </c>
      <c r="P727">
        <v>2000</v>
      </c>
      <c r="Q727">
        <v>2500</v>
      </c>
      <c r="R727">
        <v>3000</v>
      </c>
      <c r="S727">
        <v>0.5</v>
      </c>
      <c r="T727">
        <v>1.0</v>
      </c>
      <c r="U727">
        <v>0.5</v>
      </c>
      <c r="W727">
        <v>32</v>
      </c>
      <c r="X727">
        <v>30</v>
      </c>
      <c r="Y727" t="s">
        <v>60</v>
      </c>
    </row>
    <row r="728" spans="1:25">
      <c r="A728" t="s">
        <v>1471</v>
      </c>
      <c r="B728" s="2" t="str">
        <f>Hyperlink("https://www.diodes.com/datasheet/download/DMN62D1LFB.pdf")</f>
        <v>https://www.diodes.com/datasheet/download/DMN62D1LFB.pdf</v>
      </c>
      <c r="C728" t="str">
        <f>Hyperlink("https://www.diodes.com/part/view/DMN62D1LFB","DMN62D1LFB")</f>
        <v>DMN62D1LFB</v>
      </c>
      <c r="D728" t="s">
        <v>26</v>
      </c>
      <c r="E728" t="s">
        <v>30</v>
      </c>
      <c r="F728" t="s">
        <v>28</v>
      </c>
      <c r="G728" t="s">
        <v>29</v>
      </c>
      <c r="H728" t="s">
        <v>27</v>
      </c>
      <c r="I728">
        <v>60</v>
      </c>
      <c r="J728">
        <v>20</v>
      </c>
      <c r="K728">
        <v>0.41</v>
      </c>
      <c r="M728">
        <v>0.5</v>
      </c>
      <c r="P728" t="s">
        <v>1241</v>
      </c>
      <c r="Q728">
        <v>2500</v>
      </c>
      <c r="R728">
        <v>3000</v>
      </c>
      <c r="T728">
        <v>1</v>
      </c>
      <c r="U728">
        <v>0.45</v>
      </c>
      <c r="W728">
        <v>32</v>
      </c>
      <c r="X728">
        <v>25</v>
      </c>
      <c r="Y728" t="s">
        <v>846</v>
      </c>
    </row>
    <row r="729" spans="1:25">
      <c r="A729" t="s">
        <v>1472</v>
      </c>
      <c r="B729" s="2" t="str">
        <f>Hyperlink("https://www.diodes.com/datasheet/download/DMN62D1LFD.pdf")</f>
        <v>https://www.diodes.com/datasheet/download/DMN62D1LFD.pdf</v>
      </c>
      <c r="C729" t="str">
        <f>Hyperlink("https://www.diodes.com/part/view/DMN62D1LFD","DMN62D1LFD")</f>
        <v>DMN62D1LFD</v>
      </c>
      <c r="D729" t="s">
        <v>26</v>
      </c>
      <c r="E729" t="s">
        <v>27</v>
      </c>
      <c r="F729" t="s">
        <v>28</v>
      </c>
      <c r="G729" t="s">
        <v>29</v>
      </c>
      <c r="H729" t="s">
        <v>27</v>
      </c>
      <c r="I729">
        <v>60</v>
      </c>
      <c r="J729">
        <v>20</v>
      </c>
      <c r="K729">
        <v>0.4</v>
      </c>
      <c r="M729">
        <v>0.5</v>
      </c>
      <c r="P729" t="s">
        <v>1241</v>
      </c>
      <c r="Q729">
        <v>2500</v>
      </c>
      <c r="R729">
        <v>3000</v>
      </c>
      <c r="T729">
        <v>1</v>
      </c>
      <c r="U729">
        <v>0.55</v>
      </c>
      <c r="W729" t="s">
        <v>1473</v>
      </c>
      <c r="Y729" t="s">
        <v>1036</v>
      </c>
    </row>
    <row r="730" spans="1:25">
      <c r="A730" t="s">
        <v>1474</v>
      </c>
      <c r="B730" s="2" t="str">
        <f>Hyperlink("https://www.diodes.com/datasheet/download/DMN62D1LFDQ.pdf")</f>
        <v>https://www.diodes.com/datasheet/download/DMN62D1LFDQ.pdf</v>
      </c>
      <c r="C730" t="str">
        <f>Hyperlink("https://www.diodes.com/part/view/DMN62D1LFDQ","DMN62D1LFDQ")</f>
        <v>DMN62D1LFDQ</v>
      </c>
      <c r="D730" t="s">
        <v>26</v>
      </c>
      <c r="E730" t="s">
        <v>27</v>
      </c>
      <c r="F730" t="s">
        <v>37</v>
      </c>
      <c r="G730" t="s">
        <v>29</v>
      </c>
      <c r="H730" t="s">
        <v>27</v>
      </c>
      <c r="I730">
        <v>60</v>
      </c>
      <c r="J730">
        <v>20</v>
      </c>
      <c r="K730">
        <v>0.4</v>
      </c>
      <c r="M730">
        <v>0.5</v>
      </c>
      <c r="P730" t="s">
        <v>1241</v>
      </c>
      <c r="Q730">
        <v>2500</v>
      </c>
      <c r="R730">
        <v>3000</v>
      </c>
      <c r="T730">
        <v>1</v>
      </c>
      <c r="U730">
        <v>0.55</v>
      </c>
      <c r="W730">
        <v>36</v>
      </c>
      <c r="X730">
        <v>25</v>
      </c>
      <c r="Y730" t="s">
        <v>1036</v>
      </c>
    </row>
    <row r="731" spans="1:25">
      <c r="A731" t="s">
        <v>1475</v>
      </c>
      <c r="B731" s="2" t="str">
        <f>Hyperlink("https://www.diodes.com/datasheet/download/DMN62D1SFB.pdf")</f>
        <v>https://www.diodes.com/datasheet/download/DMN62D1SFB.pdf</v>
      </c>
      <c r="C731" t="str">
        <f>Hyperlink("https://www.diodes.com/part/view/DMN62D1SFB","DMN62D1SFB")</f>
        <v>DMN62D1SFB</v>
      </c>
      <c r="D731" t="s">
        <v>26</v>
      </c>
      <c r="E731" t="s">
        <v>27</v>
      </c>
      <c r="F731" t="s">
        <v>28</v>
      </c>
      <c r="G731" t="s">
        <v>29</v>
      </c>
      <c r="H731" t="s">
        <v>27</v>
      </c>
      <c r="I731">
        <v>60</v>
      </c>
      <c r="J731">
        <v>20</v>
      </c>
      <c r="K731">
        <v>0.41</v>
      </c>
      <c r="M731">
        <v>0.47</v>
      </c>
      <c r="O731">
        <v>1400</v>
      </c>
      <c r="P731">
        <v>1600</v>
      </c>
      <c r="T731">
        <v>2.3</v>
      </c>
      <c r="U731">
        <v>0.73</v>
      </c>
      <c r="V731">
        <v>1.39</v>
      </c>
      <c r="W731" t="s">
        <v>1476</v>
      </c>
      <c r="Y731" t="s">
        <v>846</v>
      </c>
    </row>
    <row r="732" spans="1:25">
      <c r="A732" t="s">
        <v>1477</v>
      </c>
      <c r="B732" s="2" t="str">
        <f>Hyperlink("https://www.diodes.com/datasheet/download/DMN62D1SFBW.pdf")</f>
        <v>https://www.diodes.com/datasheet/download/DMN62D1SFBW.pdf</v>
      </c>
      <c r="C732" t="str">
        <f>Hyperlink("https://www.diodes.com/part/view/DMN62D1SFBW","DMN62D1SFBW")</f>
        <v>DMN62D1SFBW</v>
      </c>
      <c r="D732" t="s">
        <v>1399</v>
      </c>
      <c r="E732" t="s">
        <v>27</v>
      </c>
      <c r="F732" t="s">
        <v>28</v>
      </c>
      <c r="G732" t="s">
        <v>29</v>
      </c>
      <c r="H732" t="s">
        <v>27</v>
      </c>
      <c r="I732">
        <v>60</v>
      </c>
      <c r="J732">
        <v>20</v>
      </c>
      <c r="K732">
        <v>0.538</v>
      </c>
      <c r="M732">
        <v>0.8</v>
      </c>
      <c r="O732">
        <v>1400</v>
      </c>
      <c r="P732">
        <v>1600</v>
      </c>
      <c r="S732">
        <v>1.3</v>
      </c>
      <c r="T732">
        <v>2.3</v>
      </c>
      <c r="U732">
        <v>0.8</v>
      </c>
      <c r="V732">
        <v>1.4</v>
      </c>
      <c r="W732">
        <v>43</v>
      </c>
      <c r="X732">
        <v>40</v>
      </c>
      <c r="Y732" t="s">
        <v>1478</v>
      </c>
    </row>
    <row r="733" spans="1:25">
      <c r="A733" t="s">
        <v>1479</v>
      </c>
      <c r="B733" s="2" t="str">
        <f>Hyperlink("https://www.diodes.com/datasheet/download/DMN62D1SFBWQ.pdf")</f>
        <v>https://www.diodes.com/datasheet/download/DMN62D1SFBWQ.pdf</v>
      </c>
      <c r="C733" t="str">
        <f>Hyperlink("https://www.diodes.com/part/view/DMN62D1SFBWQ","DMN62D1SFBWQ")</f>
        <v>DMN62D1SFBWQ</v>
      </c>
      <c r="D733" t="s">
        <v>1399</v>
      </c>
      <c r="E733" t="s">
        <v>27</v>
      </c>
      <c r="F733" t="s">
        <v>37</v>
      </c>
      <c r="G733" t="s">
        <v>29</v>
      </c>
      <c r="H733" t="s">
        <v>27</v>
      </c>
      <c r="I733">
        <v>60</v>
      </c>
      <c r="J733">
        <v>20</v>
      </c>
      <c r="K733">
        <v>0.538</v>
      </c>
      <c r="M733">
        <v>0.8</v>
      </c>
      <c r="O733">
        <v>1400</v>
      </c>
      <c r="P733">
        <v>1600</v>
      </c>
      <c r="S733">
        <v>1.3</v>
      </c>
      <c r="T733">
        <v>2.3</v>
      </c>
      <c r="U733">
        <v>0.8</v>
      </c>
      <c r="V733">
        <v>1.4</v>
      </c>
      <c r="W733">
        <v>43</v>
      </c>
      <c r="X733">
        <v>40</v>
      </c>
      <c r="Y733" t="s">
        <v>1478</v>
      </c>
    </row>
    <row r="734" spans="1:25">
      <c r="A734" t="s">
        <v>1480</v>
      </c>
      <c r="B734" s="2" t="str">
        <f>Hyperlink("https://www.diodes.com/datasheet/download/DMN62D2U.pdf")</f>
        <v>https://www.diodes.com/datasheet/download/DMN62D2U.pdf</v>
      </c>
      <c r="C734" t="str">
        <f>Hyperlink("https://www.diodes.com/part/view/DMN62D2U","DMN62D2U")</f>
        <v>DMN62D2U</v>
      </c>
      <c r="D734" t="s">
        <v>1399</v>
      </c>
      <c r="E734" t="s">
        <v>30</v>
      </c>
      <c r="F734" t="s">
        <v>28</v>
      </c>
      <c r="G734" t="s">
        <v>29</v>
      </c>
      <c r="H734" t="s">
        <v>27</v>
      </c>
      <c r="I734">
        <v>60</v>
      </c>
      <c r="J734">
        <v>20</v>
      </c>
      <c r="K734">
        <v>0.39</v>
      </c>
      <c r="M734">
        <v>0.6</v>
      </c>
      <c r="P734" t="s">
        <v>1355</v>
      </c>
      <c r="Q734">
        <v>2500</v>
      </c>
      <c r="R734">
        <v>4000</v>
      </c>
      <c r="S734">
        <v>0.5</v>
      </c>
      <c r="T734">
        <v>1</v>
      </c>
      <c r="U734">
        <v>0.8</v>
      </c>
      <c r="W734">
        <v>41</v>
      </c>
      <c r="X734">
        <v>30</v>
      </c>
      <c r="Y734" t="s">
        <v>35</v>
      </c>
    </row>
    <row r="735" spans="1:25">
      <c r="A735" t="s">
        <v>1481</v>
      </c>
      <c r="B735" s="2" t="str">
        <f>Hyperlink("https://www.diodes.com/datasheet/download/DMN62D2UDM.pdf")</f>
        <v>https://www.diodes.com/datasheet/download/DMN62D2UDM.pdf</v>
      </c>
      <c r="C735" t="str">
        <f>Hyperlink("https://www.diodes.com/part/view/DMN62D2UDM","DMN62D2UDM")</f>
        <v>DMN62D2UDM</v>
      </c>
      <c r="D735" t="s">
        <v>1425</v>
      </c>
      <c r="E735" t="s">
        <v>30</v>
      </c>
      <c r="F735" t="s">
        <v>28</v>
      </c>
      <c r="G735" t="s">
        <v>29</v>
      </c>
      <c r="H735" t="s">
        <v>27</v>
      </c>
      <c r="I735">
        <v>60</v>
      </c>
      <c r="J735">
        <v>20</v>
      </c>
      <c r="K735">
        <v>0.44</v>
      </c>
      <c r="M735">
        <v>0.8</v>
      </c>
      <c r="P735" t="s">
        <v>1355</v>
      </c>
      <c r="Q735">
        <v>2500</v>
      </c>
      <c r="R735">
        <v>4000</v>
      </c>
      <c r="S735">
        <v>0.5</v>
      </c>
      <c r="T735">
        <v>1</v>
      </c>
      <c r="U735">
        <v>0.8</v>
      </c>
      <c r="W735">
        <v>41</v>
      </c>
      <c r="X735">
        <v>30</v>
      </c>
      <c r="Y735" t="s">
        <v>339</v>
      </c>
    </row>
    <row r="736" spans="1:25">
      <c r="A736" t="s">
        <v>1482</v>
      </c>
      <c r="B736" s="2" t="str">
        <f>Hyperlink("https://www.diodes.com/datasheet/download/DMN62D2UDMQ.pdf")</f>
        <v>https://www.diodes.com/datasheet/download/DMN62D2UDMQ.pdf</v>
      </c>
      <c r="C736" t="str">
        <f>Hyperlink("https://www.diodes.com/part/view/DMN62D2UDMQ","DMN62D2UDMQ")</f>
        <v>DMN62D2UDMQ</v>
      </c>
      <c r="D736" t="s">
        <v>1425</v>
      </c>
      <c r="E736" t="s">
        <v>27</v>
      </c>
      <c r="F736" t="s">
        <v>37</v>
      </c>
      <c r="G736" t="s">
        <v>29</v>
      </c>
      <c r="H736" t="s">
        <v>27</v>
      </c>
      <c r="I736">
        <v>60</v>
      </c>
      <c r="J736">
        <v>20</v>
      </c>
      <c r="K736">
        <v>0.44</v>
      </c>
      <c r="M736">
        <v>0.8</v>
      </c>
      <c r="P736" t="s">
        <v>1355</v>
      </c>
      <c r="Q736">
        <v>2500</v>
      </c>
      <c r="R736">
        <v>4000</v>
      </c>
      <c r="S736">
        <v>0.5</v>
      </c>
      <c r="T736">
        <v>1</v>
      </c>
      <c r="U736">
        <v>0.8</v>
      </c>
      <c r="W736">
        <v>41</v>
      </c>
      <c r="X736">
        <v>30</v>
      </c>
      <c r="Y736" t="s">
        <v>339</v>
      </c>
    </row>
    <row r="737" spans="1:25">
      <c r="A737" t="s">
        <v>1483</v>
      </c>
      <c r="B737" s="2" t="str">
        <f>Hyperlink("https://www.diodes.com/datasheet/download/DMN62D2UDW.pdf")</f>
        <v>https://www.diodes.com/datasheet/download/DMN62D2UDW.pdf</v>
      </c>
      <c r="C737" t="str">
        <f>Hyperlink("https://www.diodes.com/part/view/DMN62D2UDW","DMN62D2UDW")</f>
        <v>DMN62D2UDW</v>
      </c>
      <c r="D737" t="s">
        <v>1425</v>
      </c>
      <c r="E737" t="s">
        <v>30</v>
      </c>
      <c r="F737" t="s">
        <v>28</v>
      </c>
      <c r="G737" t="s">
        <v>29</v>
      </c>
      <c r="H737" t="s">
        <v>27</v>
      </c>
      <c r="I737">
        <v>60</v>
      </c>
      <c r="J737">
        <v>20</v>
      </c>
      <c r="K737">
        <v>0.34</v>
      </c>
      <c r="M737">
        <v>0.5</v>
      </c>
      <c r="P737" t="s">
        <v>1355</v>
      </c>
      <c r="Q737">
        <v>2500</v>
      </c>
      <c r="R737">
        <v>4000</v>
      </c>
      <c r="S737">
        <v>0.5</v>
      </c>
      <c r="T737">
        <v>1</v>
      </c>
      <c r="U737">
        <v>0.8</v>
      </c>
      <c r="W737">
        <v>41</v>
      </c>
      <c r="X737">
        <v>30</v>
      </c>
      <c r="Y737" t="s">
        <v>42</v>
      </c>
    </row>
    <row r="738" spans="1:25">
      <c r="A738" t="s">
        <v>1484</v>
      </c>
      <c r="B738" s="2" t="str">
        <f>Hyperlink("https://www.diodes.com/datasheet/download/DMN62D2UDWQ.pdf")</f>
        <v>https://www.diodes.com/datasheet/download/DMN62D2UDWQ.pdf</v>
      </c>
      <c r="C738" t="str">
        <f>Hyperlink("https://www.diodes.com/part/view/DMN62D2UDWQ","DMN62D2UDWQ")</f>
        <v>DMN62D2UDWQ</v>
      </c>
      <c r="D738" t="s">
        <v>1067</v>
      </c>
      <c r="E738" t="s">
        <v>27</v>
      </c>
      <c r="F738" t="s">
        <v>37</v>
      </c>
      <c r="G738" t="s">
        <v>40</v>
      </c>
      <c r="H738" t="s">
        <v>27</v>
      </c>
      <c r="I738">
        <v>60</v>
      </c>
      <c r="J738">
        <v>20</v>
      </c>
      <c r="K738">
        <v>0.34</v>
      </c>
      <c r="M738">
        <v>0.5</v>
      </c>
      <c r="P738" t="s">
        <v>1355</v>
      </c>
      <c r="Q738">
        <v>2500</v>
      </c>
      <c r="R738">
        <v>4000</v>
      </c>
      <c r="S738">
        <v>0.5</v>
      </c>
      <c r="T738">
        <v>1</v>
      </c>
      <c r="U738">
        <v>0.8</v>
      </c>
      <c r="W738">
        <v>41</v>
      </c>
      <c r="X738">
        <v>30</v>
      </c>
      <c r="Y738" t="s">
        <v>42</v>
      </c>
    </row>
    <row r="739" spans="1:25">
      <c r="A739" t="s">
        <v>1485</v>
      </c>
      <c r="B739" s="2" t="str">
        <f>Hyperlink("https://www.diodes.com/datasheet/download/DMN62D2UQ.pdf")</f>
        <v>https://www.diodes.com/datasheet/download/DMN62D2UQ.pdf</v>
      </c>
      <c r="C739" t="str">
        <f>Hyperlink("https://www.diodes.com/part/view/DMN62D2UQ","DMN62D2UQ")</f>
        <v>DMN62D2UQ</v>
      </c>
      <c r="D739" t="s">
        <v>1399</v>
      </c>
      <c r="E739" t="s">
        <v>27</v>
      </c>
      <c r="F739" t="s">
        <v>37</v>
      </c>
      <c r="G739" t="s">
        <v>29</v>
      </c>
      <c r="H739" t="s">
        <v>27</v>
      </c>
      <c r="I739">
        <v>60</v>
      </c>
      <c r="J739">
        <v>20</v>
      </c>
      <c r="K739">
        <v>0.39</v>
      </c>
      <c r="M739">
        <v>0.6</v>
      </c>
      <c r="P739" t="s">
        <v>1355</v>
      </c>
      <c r="Q739">
        <v>2500</v>
      </c>
      <c r="R739">
        <v>4000</v>
      </c>
      <c r="S739">
        <v>0.5</v>
      </c>
      <c r="T739">
        <v>1</v>
      </c>
      <c r="U739">
        <v>0.8</v>
      </c>
      <c r="W739">
        <v>41</v>
      </c>
      <c r="X739">
        <v>30</v>
      </c>
      <c r="Y739" t="s">
        <v>35</v>
      </c>
    </row>
    <row r="740" spans="1:25">
      <c r="A740" t="s">
        <v>1486</v>
      </c>
      <c r="B740" s="2" t="str">
        <f>Hyperlink("https://www.diodes.com/datasheet/download/DMN62D2UT.pdf")</f>
        <v>https://www.diodes.com/datasheet/download/DMN62D2UT.pdf</v>
      </c>
      <c r="C740" t="str">
        <f>Hyperlink("https://www.diodes.com/part/view/DMN62D2UT","DMN62D2UT")</f>
        <v>DMN62D2UT</v>
      </c>
      <c r="D740" t="s">
        <v>1487</v>
      </c>
      <c r="E740" t="s">
        <v>30</v>
      </c>
      <c r="F740" t="s">
        <v>28</v>
      </c>
      <c r="G740" t="s">
        <v>29</v>
      </c>
      <c r="H740" t="s">
        <v>27</v>
      </c>
      <c r="I740">
        <v>60</v>
      </c>
      <c r="J740">
        <v>20</v>
      </c>
      <c r="K740">
        <v>0.334</v>
      </c>
      <c r="M740">
        <v>0.5</v>
      </c>
      <c r="P740" t="s">
        <v>1355</v>
      </c>
      <c r="Q740">
        <v>2500</v>
      </c>
      <c r="R740">
        <v>4000</v>
      </c>
      <c r="S740">
        <v>0.5</v>
      </c>
      <c r="T740">
        <v>1</v>
      </c>
      <c r="U740">
        <v>0.8</v>
      </c>
      <c r="W740">
        <v>41</v>
      </c>
      <c r="X740">
        <v>30</v>
      </c>
      <c r="Y740" t="s">
        <v>56</v>
      </c>
    </row>
    <row r="741" spans="1:25">
      <c r="A741" t="s">
        <v>1488</v>
      </c>
      <c r="B741" s="2" t="str">
        <f>Hyperlink("https://www.diodes.com/datasheet/download/DMN62D2UTQ.pdf")</f>
        <v>https://www.diodes.com/datasheet/download/DMN62D2UTQ.pdf</v>
      </c>
      <c r="C741" t="str">
        <f>Hyperlink("https://www.diodes.com/part/view/DMN62D2UTQ","DMN62D2UTQ")</f>
        <v>DMN62D2UTQ</v>
      </c>
      <c r="D741" t="s">
        <v>1399</v>
      </c>
      <c r="E741" t="s">
        <v>27</v>
      </c>
      <c r="F741" t="s">
        <v>37</v>
      </c>
      <c r="G741" t="s">
        <v>29</v>
      </c>
      <c r="H741" t="s">
        <v>27</v>
      </c>
      <c r="I741">
        <v>60</v>
      </c>
      <c r="J741">
        <v>20</v>
      </c>
      <c r="K741">
        <v>0.334</v>
      </c>
      <c r="M741">
        <v>0.5</v>
      </c>
      <c r="P741" t="s">
        <v>1355</v>
      </c>
      <c r="Q741">
        <v>2500</v>
      </c>
      <c r="R741">
        <v>4000</v>
      </c>
      <c r="S741">
        <v>0.5</v>
      </c>
      <c r="T741">
        <v>1</v>
      </c>
      <c r="U741">
        <v>0.8</v>
      </c>
      <c r="W741">
        <v>41</v>
      </c>
      <c r="X741">
        <v>30</v>
      </c>
      <c r="Y741" t="s">
        <v>56</v>
      </c>
    </row>
    <row r="742" spans="1:25">
      <c r="A742" t="s">
        <v>1489</v>
      </c>
      <c r="B742" s="2" t="str">
        <f>Hyperlink("https://www.diodes.com/datasheet/download/DMN62D2UV.pdf")</f>
        <v>https://www.diodes.com/datasheet/download/DMN62D2UV.pdf</v>
      </c>
      <c r="C742" t="str">
        <f>Hyperlink("https://www.diodes.com/part/view/DMN62D2UV","DMN62D2UV")</f>
        <v>DMN62D2UV</v>
      </c>
      <c r="D742" t="s">
        <v>1425</v>
      </c>
      <c r="E742" t="s">
        <v>27</v>
      </c>
      <c r="F742" t="s">
        <v>28</v>
      </c>
      <c r="G742" t="s">
        <v>29</v>
      </c>
      <c r="H742" t="s">
        <v>27</v>
      </c>
      <c r="I742">
        <v>60</v>
      </c>
      <c r="J742">
        <v>20</v>
      </c>
      <c r="K742">
        <v>0.45</v>
      </c>
      <c r="M742">
        <v>0.8</v>
      </c>
      <c r="P742" t="s">
        <v>1355</v>
      </c>
      <c r="Q742">
        <v>2500</v>
      </c>
      <c r="R742">
        <v>4000</v>
      </c>
      <c r="S742">
        <v>0.5</v>
      </c>
      <c r="T742">
        <v>1</v>
      </c>
      <c r="U742">
        <v>0.8</v>
      </c>
      <c r="W742">
        <v>41</v>
      </c>
      <c r="X742">
        <v>30</v>
      </c>
      <c r="Y742" t="s">
        <v>60</v>
      </c>
    </row>
    <row r="743" spans="1:25">
      <c r="A743" t="s">
        <v>1490</v>
      </c>
      <c r="B743" s="2" t="str">
        <f>Hyperlink("https://www.diodes.com/datasheet/download/DMN62D2UVQ.pdf")</f>
        <v>https://www.diodes.com/datasheet/download/DMN62D2UVQ.pdf</v>
      </c>
      <c r="C743" t="str">
        <f>Hyperlink("https://www.diodes.com/part/view/DMN62D2UVQ","DMN62D2UVQ")</f>
        <v>DMN62D2UVQ</v>
      </c>
      <c r="D743" t="s">
        <v>1425</v>
      </c>
      <c r="E743" t="s">
        <v>27</v>
      </c>
      <c r="F743" t="s">
        <v>37</v>
      </c>
      <c r="G743" t="s">
        <v>29</v>
      </c>
      <c r="H743" t="s">
        <v>27</v>
      </c>
      <c r="I743">
        <v>60</v>
      </c>
      <c r="J743">
        <v>20</v>
      </c>
      <c r="K743">
        <v>0.45</v>
      </c>
      <c r="M743">
        <v>0.8</v>
      </c>
      <c r="P743" t="s">
        <v>1355</v>
      </c>
      <c r="Q743">
        <v>2500</v>
      </c>
      <c r="R743">
        <v>4000</v>
      </c>
      <c r="S743">
        <v>0.5</v>
      </c>
      <c r="T743">
        <v>1</v>
      </c>
      <c r="U743">
        <v>0.8</v>
      </c>
      <c r="W743">
        <v>41</v>
      </c>
      <c r="X743">
        <v>30</v>
      </c>
      <c r="Y743" t="s">
        <v>60</v>
      </c>
    </row>
    <row r="744" spans="1:25">
      <c r="A744" t="s">
        <v>1491</v>
      </c>
      <c r="B744" s="2" t="str">
        <f>Hyperlink("https://www.diodes.com/datasheet/download/DMN62D2UVT.pdf")</f>
        <v>https://www.diodes.com/datasheet/download/DMN62D2UVT.pdf</v>
      </c>
      <c r="C744" t="str">
        <f>Hyperlink("https://www.diodes.com/part/view/DMN62D2UVT","DMN62D2UVT")</f>
        <v>DMN62D2UVT</v>
      </c>
      <c r="D744" t="s">
        <v>1399</v>
      </c>
      <c r="E744" t="s">
        <v>27</v>
      </c>
      <c r="F744" t="s">
        <v>28</v>
      </c>
      <c r="G744" t="s">
        <v>29</v>
      </c>
      <c r="H744" t="s">
        <v>27</v>
      </c>
      <c r="I744">
        <v>60</v>
      </c>
      <c r="J744">
        <v>20</v>
      </c>
      <c r="K744">
        <v>0.455</v>
      </c>
      <c r="M744">
        <v>0.9</v>
      </c>
      <c r="P744" t="s">
        <v>1355</v>
      </c>
      <c r="Q744">
        <v>2500</v>
      </c>
      <c r="R744">
        <v>4000</v>
      </c>
      <c r="S744">
        <v>0.5</v>
      </c>
      <c r="T744">
        <v>1</v>
      </c>
      <c r="U744">
        <v>0.8</v>
      </c>
      <c r="W744">
        <v>41</v>
      </c>
      <c r="X744">
        <v>30</v>
      </c>
      <c r="Y744" t="s">
        <v>183</v>
      </c>
    </row>
    <row r="745" spans="1:25">
      <c r="A745" t="s">
        <v>1492</v>
      </c>
      <c r="B745" s="2" t="str">
        <f>Hyperlink("https://www.diodes.com/datasheet/download/DMN62D2UVTQ.pdf")</f>
        <v>https://www.diodes.com/datasheet/download/DMN62D2UVTQ.pdf</v>
      </c>
      <c r="C745" t="str">
        <f>Hyperlink("https://www.diodes.com/part/view/DMN62D2UVTQ","DMN62D2UVTQ")</f>
        <v>DMN62D2UVTQ</v>
      </c>
      <c r="D745" t="s">
        <v>1399</v>
      </c>
      <c r="E745" t="s">
        <v>27</v>
      </c>
      <c r="F745" t="s">
        <v>37</v>
      </c>
      <c r="G745" t="s">
        <v>29</v>
      </c>
      <c r="H745" t="s">
        <v>27</v>
      </c>
      <c r="I745">
        <v>60</v>
      </c>
      <c r="J745">
        <v>20</v>
      </c>
      <c r="K745">
        <v>0.455</v>
      </c>
      <c r="M745">
        <v>0.9</v>
      </c>
      <c r="P745" t="s">
        <v>1351</v>
      </c>
      <c r="Q745">
        <v>2500</v>
      </c>
      <c r="R745">
        <v>4000</v>
      </c>
      <c r="S745">
        <v>0.5</v>
      </c>
      <c r="T745">
        <v>1</v>
      </c>
      <c r="U745">
        <v>0.8</v>
      </c>
      <c r="W745">
        <v>41</v>
      </c>
      <c r="X745">
        <v>30</v>
      </c>
      <c r="Y745" t="s">
        <v>183</v>
      </c>
    </row>
    <row r="746" spans="1:25">
      <c r="A746" t="s">
        <v>1493</v>
      </c>
      <c r="B746" s="2" t="str">
        <f>Hyperlink("https://www.diodes.com/datasheet/download/DMN62D2UW.pdf")</f>
        <v>https://www.diodes.com/datasheet/download/DMN62D2UW.pdf</v>
      </c>
      <c r="C746" t="str">
        <f>Hyperlink("https://www.diodes.com/part/view/DMN62D2UW","DMN62D2UW")</f>
        <v>DMN62D2UW</v>
      </c>
      <c r="D746" t="s">
        <v>1399</v>
      </c>
      <c r="E746" t="s">
        <v>27</v>
      </c>
      <c r="F746" t="s">
        <v>28</v>
      </c>
      <c r="G746" t="s">
        <v>29</v>
      </c>
      <c r="H746" t="s">
        <v>27</v>
      </c>
      <c r="I746">
        <v>60</v>
      </c>
      <c r="J746">
        <v>20</v>
      </c>
      <c r="K746">
        <v>0.391</v>
      </c>
      <c r="M746">
        <v>0.6</v>
      </c>
      <c r="P746" t="s">
        <v>1355</v>
      </c>
      <c r="Q746">
        <v>2500</v>
      </c>
      <c r="R746">
        <v>4000</v>
      </c>
      <c r="S746">
        <v>0.5</v>
      </c>
      <c r="T746">
        <v>1</v>
      </c>
      <c r="U746">
        <v>0.8</v>
      </c>
      <c r="W746">
        <v>41</v>
      </c>
      <c r="X746">
        <v>30</v>
      </c>
      <c r="Y746" t="s">
        <v>92</v>
      </c>
    </row>
    <row r="747" spans="1:25">
      <c r="A747" t="s">
        <v>1494</v>
      </c>
      <c r="B747" s="2" t="str">
        <f>Hyperlink("https://www.diodes.com/datasheet/download/DMN62D2UWQ.pdf")</f>
        <v>https://www.diodes.com/datasheet/download/DMN62D2UWQ.pdf</v>
      </c>
      <c r="C747" t="str">
        <f>Hyperlink("https://www.diodes.com/part/view/DMN62D2UWQ","DMN62D2UWQ")</f>
        <v>DMN62D2UWQ</v>
      </c>
      <c r="D747" t="s">
        <v>1399</v>
      </c>
      <c r="E747" t="s">
        <v>27</v>
      </c>
      <c r="F747" t="s">
        <v>37</v>
      </c>
      <c r="G747" t="s">
        <v>29</v>
      </c>
      <c r="H747" t="s">
        <v>27</v>
      </c>
      <c r="I747">
        <v>60</v>
      </c>
      <c r="J747">
        <v>20</v>
      </c>
      <c r="K747">
        <v>0.391</v>
      </c>
      <c r="M747">
        <v>0.6</v>
      </c>
      <c r="P747" t="s">
        <v>1355</v>
      </c>
      <c r="Q747">
        <v>2500</v>
      </c>
      <c r="R747">
        <v>4000</v>
      </c>
      <c r="S747">
        <v>0.5</v>
      </c>
      <c r="T747">
        <v>1</v>
      </c>
      <c r="U747">
        <v>0.8</v>
      </c>
      <c r="W747">
        <v>41</v>
      </c>
      <c r="X747">
        <v>30</v>
      </c>
      <c r="Y747" t="s">
        <v>92</v>
      </c>
    </row>
    <row r="748" spans="1:25">
      <c r="A748" t="s">
        <v>1495</v>
      </c>
      <c r="B748" s="2" t="str">
        <f>Hyperlink("https://www.diodes.com/datasheet/download/DMN62D4LDW.pdf")</f>
        <v>https://www.diodes.com/datasheet/download/DMN62D4LDW.pdf</v>
      </c>
      <c r="C748" t="str">
        <f>Hyperlink("https://www.diodes.com/part/view/DMN62D4LDW","DMN62D4LDW")</f>
        <v>DMN62D4LDW</v>
      </c>
      <c r="D748" t="s">
        <v>39</v>
      </c>
      <c r="E748" t="s">
        <v>30</v>
      </c>
      <c r="F748" t="s">
        <v>28</v>
      </c>
      <c r="G748" t="s">
        <v>40</v>
      </c>
      <c r="H748" t="s">
        <v>30</v>
      </c>
      <c r="I748">
        <v>60</v>
      </c>
      <c r="J748">
        <v>20</v>
      </c>
      <c r="K748">
        <v>0.261</v>
      </c>
      <c r="M748">
        <v>0.45</v>
      </c>
      <c r="O748">
        <v>3000</v>
      </c>
      <c r="P748">
        <v>4000</v>
      </c>
      <c r="T748">
        <v>2</v>
      </c>
      <c r="U748">
        <v>0.51</v>
      </c>
      <c r="V748">
        <v>1.04</v>
      </c>
      <c r="W748">
        <v>41</v>
      </c>
      <c r="X748">
        <v>25</v>
      </c>
      <c r="Y748" t="s">
        <v>42</v>
      </c>
    </row>
    <row r="749" spans="1:25">
      <c r="A749" t="s">
        <v>1496</v>
      </c>
      <c r="B749" s="2" t="str">
        <f>Hyperlink("https://www.diodes.com/datasheet/download/DMN62D4LFB.pdf")</f>
        <v>https://www.diodes.com/datasheet/download/DMN62D4LFB.pdf</v>
      </c>
      <c r="C749" t="str">
        <f>Hyperlink("https://www.diodes.com/part/view/DMN62D4LFB","DMN62D4LFB")</f>
        <v>DMN62D4LFB</v>
      </c>
      <c r="D749" t="s">
        <v>26</v>
      </c>
      <c r="E749" t="s">
        <v>30</v>
      </c>
      <c r="F749" t="s">
        <v>28</v>
      </c>
      <c r="G749" t="s">
        <v>29</v>
      </c>
      <c r="H749" t="s">
        <v>27</v>
      </c>
      <c r="I749">
        <v>65</v>
      </c>
      <c r="J749">
        <v>20</v>
      </c>
      <c r="K749">
        <v>0.407</v>
      </c>
      <c r="M749">
        <v>0.5</v>
      </c>
      <c r="O749">
        <v>2000</v>
      </c>
      <c r="P749" t="s">
        <v>1497</v>
      </c>
      <c r="T749">
        <v>2.5</v>
      </c>
      <c r="U749">
        <v>0.6</v>
      </c>
      <c r="V749">
        <v>1.1</v>
      </c>
      <c r="W749">
        <v>40</v>
      </c>
      <c r="X749">
        <v>30</v>
      </c>
      <c r="Y749" t="s">
        <v>846</v>
      </c>
    </row>
    <row r="750" spans="1:25">
      <c r="A750" t="s">
        <v>1498</v>
      </c>
      <c r="B750" s="2" t="str">
        <f>Hyperlink("https://www.diodes.com/datasheet/download/DMN62D4LFB4.pdf")</f>
        <v>https://www.diodes.com/datasheet/download/DMN62D4LFB4.pdf</v>
      </c>
      <c r="C750" t="str">
        <f>Hyperlink("https://www.diodes.com/part/view/DMN62D4LFB4","DMN62D4LFB4")</f>
        <v>DMN62D4LFB4</v>
      </c>
      <c r="D750" t="s">
        <v>1399</v>
      </c>
      <c r="E750" t="s">
        <v>30</v>
      </c>
      <c r="F750" t="s">
        <v>28</v>
      </c>
      <c r="G750" t="s">
        <v>29</v>
      </c>
      <c r="H750" t="s">
        <v>27</v>
      </c>
      <c r="I750">
        <v>60</v>
      </c>
      <c r="J750">
        <v>20</v>
      </c>
      <c r="K750">
        <v>0.527</v>
      </c>
      <c r="M750">
        <v>1.2</v>
      </c>
      <c r="O750">
        <v>2000</v>
      </c>
      <c r="P750" t="s">
        <v>1400</v>
      </c>
      <c r="S750">
        <v>1</v>
      </c>
      <c r="T750">
        <v>2.5</v>
      </c>
      <c r="U750">
        <v>0.51</v>
      </c>
      <c r="V750">
        <v>1.04</v>
      </c>
      <c r="W750">
        <v>41</v>
      </c>
      <c r="X750">
        <v>30</v>
      </c>
      <c r="Y750" t="s">
        <v>901</v>
      </c>
    </row>
    <row r="751" spans="1:25">
      <c r="A751" t="s">
        <v>1499</v>
      </c>
      <c r="B751" s="2" t="str">
        <f>Hyperlink("https://www.diodes.com/datasheet/download/DMN63D1L.pdf")</f>
        <v>https://www.diodes.com/datasheet/download/DMN63D1L.pdf</v>
      </c>
      <c r="C751" t="str">
        <f>Hyperlink("https://www.diodes.com/part/view/DMN63D1L","DMN63D1L")</f>
        <v>DMN63D1L</v>
      </c>
      <c r="D751" t="s">
        <v>26</v>
      </c>
      <c r="E751" t="s">
        <v>27</v>
      </c>
      <c r="F751" t="s">
        <v>28</v>
      </c>
      <c r="G751" t="s">
        <v>29</v>
      </c>
      <c r="H751" t="s">
        <v>27</v>
      </c>
      <c r="I751">
        <v>60</v>
      </c>
      <c r="J751">
        <v>20</v>
      </c>
      <c r="K751">
        <v>0.38</v>
      </c>
      <c r="M751">
        <v>0.56</v>
      </c>
      <c r="O751">
        <v>2000</v>
      </c>
      <c r="P751" t="s">
        <v>1380</v>
      </c>
      <c r="T751">
        <v>2.5</v>
      </c>
      <c r="U751">
        <v>0.3</v>
      </c>
      <c r="W751">
        <v>30</v>
      </c>
      <c r="X751">
        <v>25</v>
      </c>
      <c r="Y751" t="s">
        <v>35</v>
      </c>
    </row>
    <row r="752" spans="1:25">
      <c r="A752" t="s">
        <v>1500</v>
      </c>
      <c r="B752" s="2" t="str">
        <f>Hyperlink("https://www.diodes.com/datasheet/download/DMN63D1LDW.pdf")</f>
        <v>https://www.diodes.com/datasheet/download/DMN63D1LDW.pdf</v>
      </c>
      <c r="C752" t="str">
        <f>Hyperlink("https://www.diodes.com/part/view/DMN63D1LDW","DMN63D1LDW")</f>
        <v>DMN63D1LDW</v>
      </c>
      <c r="D752" t="s">
        <v>39</v>
      </c>
      <c r="E752" t="s">
        <v>27</v>
      </c>
      <c r="F752" t="s">
        <v>28</v>
      </c>
      <c r="G752" t="s">
        <v>40</v>
      </c>
      <c r="H752" t="s">
        <v>27</v>
      </c>
      <c r="I752">
        <v>60</v>
      </c>
      <c r="J752">
        <v>20</v>
      </c>
      <c r="K752">
        <v>0.25</v>
      </c>
      <c r="M752">
        <v>0.39</v>
      </c>
      <c r="O752">
        <v>2000</v>
      </c>
      <c r="P752" t="s">
        <v>1380</v>
      </c>
      <c r="T752">
        <v>2.5</v>
      </c>
      <c r="U752">
        <v>0.3</v>
      </c>
      <c r="W752">
        <v>30</v>
      </c>
      <c r="X752">
        <v>25</v>
      </c>
      <c r="Y752" t="s">
        <v>42</v>
      </c>
    </row>
    <row r="753" spans="1:25">
      <c r="A753" t="s">
        <v>1501</v>
      </c>
      <c r="B753" s="2" t="str">
        <f>Hyperlink("https://www.diodes.com/datasheet/download/DMN63D1LT.pdf")</f>
        <v>https://www.diodes.com/datasheet/download/DMN63D1LT.pdf</v>
      </c>
      <c r="C753" t="str">
        <f>Hyperlink("https://www.diodes.com/part/view/DMN63D1LT","DMN63D1LT")</f>
        <v>DMN63D1LT</v>
      </c>
      <c r="D753" t="s">
        <v>54</v>
      </c>
      <c r="E753" t="s">
        <v>30</v>
      </c>
      <c r="F753" t="s">
        <v>28</v>
      </c>
      <c r="G753" t="s">
        <v>29</v>
      </c>
      <c r="H753" t="s">
        <v>27</v>
      </c>
      <c r="I753">
        <v>60</v>
      </c>
      <c r="J753">
        <v>20</v>
      </c>
      <c r="K753">
        <v>0.32</v>
      </c>
      <c r="M753">
        <v>0.33</v>
      </c>
      <c r="O753">
        <v>2000</v>
      </c>
      <c r="P753" t="s">
        <v>1380</v>
      </c>
      <c r="T753">
        <v>2.5</v>
      </c>
      <c r="U753">
        <v>0.392</v>
      </c>
      <c r="W753">
        <v>30</v>
      </c>
      <c r="X753">
        <v>25</v>
      </c>
      <c r="Y753" t="s">
        <v>56</v>
      </c>
    </row>
    <row r="754" spans="1:25">
      <c r="A754" t="s">
        <v>1502</v>
      </c>
      <c r="B754" s="2" t="str">
        <f>Hyperlink("https://www.diodes.com/datasheet/download/DMN63D1LV.pdf")</f>
        <v>https://www.diodes.com/datasheet/download/DMN63D1LV.pdf</v>
      </c>
      <c r="C754" t="str">
        <f>Hyperlink("https://www.diodes.com/part/view/DMN63D1LV","DMN63D1LV")</f>
        <v>DMN63D1LV</v>
      </c>
      <c r="D754" t="s">
        <v>39</v>
      </c>
      <c r="E754" t="s">
        <v>30</v>
      </c>
      <c r="F754" t="s">
        <v>28</v>
      </c>
      <c r="G754" t="s">
        <v>40</v>
      </c>
      <c r="H754" t="s">
        <v>27</v>
      </c>
      <c r="I754">
        <v>60</v>
      </c>
      <c r="J754">
        <v>20</v>
      </c>
      <c r="K754">
        <v>0.55</v>
      </c>
      <c r="M754">
        <v>0.94</v>
      </c>
      <c r="O754">
        <v>2000</v>
      </c>
      <c r="P754" t="s">
        <v>1380</v>
      </c>
      <c r="T754">
        <v>2.5</v>
      </c>
      <c r="U754">
        <v>0.392</v>
      </c>
      <c r="W754">
        <v>30</v>
      </c>
      <c r="X754">
        <v>25</v>
      </c>
      <c r="Y754" t="s">
        <v>60</v>
      </c>
    </row>
    <row r="755" spans="1:25">
      <c r="A755" t="s">
        <v>1503</v>
      </c>
      <c r="B755" s="2" t="str">
        <f>Hyperlink("https://www.diodes.com/datasheet/download/DMN63D1LVQ.pdf")</f>
        <v>https://www.diodes.com/datasheet/download/DMN63D1LVQ.pdf</v>
      </c>
      <c r="C755" t="str">
        <f>Hyperlink("https://www.diodes.com/part/view/DMN63D1LVQ","DMN63D1LVQ")</f>
        <v>DMN63D1LVQ</v>
      </c>
      <c r="D755" t="s">
        <v>1067</v>
      </c>
      <c r="E755" t="s">
        <v>27</v>
      </c>
      <c r="F755" t="s">
        <v>37</v>
      </c>
      <c r="G755" t="s">
        <v>40</v>
      </c>
      <c r="H755" t="s">
        <v>27</v>
      </c>
      <c r="I755">
        <v>60</v>
      </c>
      <c r="J755">
        <v>20</v>
      </c>
      <c r="K755">
        <v>0.477</v>
      </c>
      <c r="M755">
        <v>0.94</v>
      </c>
      <c r="O755">
        <v>2000</v>
      </c>
      <c r="P755" t="s">
        <v>1400</v>
      </c>
      <c r="S755">
        <v>1</v>
      </c>
      <c r="T755">
        <v>2.5</v>
      </c>
      <c r="U755">
        <v>0.51</v>
      </c>
      <c r="V755">
        <v>1.04</v>
      </c>
      <c r="W755">
        <v>41</v>
      </c>
      <c r="X755">
        <v>30</v>
      </c>
      <c r="Y755" t="s">
        <v>60</v>
      </c>
    </row>
    <row r="756" spans="1:25">
      <c r="A756" t="s">
        <v>1504</v>
      </c>
      <c r="B756" s="2" t="str">
        <f>Hyperlink("https://www.diodes.com/datasheet/download/DMN63D1LW.pdf")</f>
        <v>https://www.diodes.com/datasheet/download/DMN63D1LW.pdf</v>
      </c>
      <c r="C756" t="str">
        <f>Hyperlink("https://www.diodes.com/part/view/DMN63D1LW","DMN63D1LW")</f>
        <v>DMN63D1LW</v>
      </c>
      <c r="D756" t="s">
        <v>1384</v>
      </c>
      <c r="E756" t="s">
        <v>27</v>
      </c>
      <c r="F756" t="s">
        <v>28</v>
      </c>
      <c r="G756" t="s">
        <v>29</v>
      </c>
      <c r="H756" t="s">
        <v>27</v>
      </c>
      <c r="I756">
        <v>60</v>
      </c>
      <c r="J756">
        <v>20</v>
      </c>
      <c r="K756">
        <v>0.38</v>
      </c>
      <c r="M756">
        <v>0.41</v>
      </c>
      <c r="O756">
        <v>2000</v>
      </c>
      <c r="P756" t="s">
        <v>1380</v>
      </c>
      <c r="T756">
        <v>2.5</v>
      </c>
      <c r="U756">
        <v>0.3</v>
      </c>
      <c r="W756">
        <v>30</v>
      </c>
      <c r="X756">
        <v>25</v>
      </c>
      <c r="Y756" t="s">
        <v>92</v>
      </c>
    </row>
    <row r="757" spans="1:25">
      <c r="A757" t="s">
        <v>1505</v>
      </c>
      <c r="B757" s="2" t="str">
        <f>Hyperlink("https://www.diodes.com/datasheet/download/DMN63D8L.pdf")</f>
        <v>https://www.diodes.com/datasheet/download/DMN63D8L.pdf</v>
      </c>
      <c r="C757" t="str">
        <f>Hyperlink("https://www.diodes.com/part/view/DMN63D8L","DMN63D8L")</f>
        <v>DMN63D8L</v>
      </c>
      <c r="D757" t="s">
        <v>26</v>
      </c>
      <c r="E757" t="s">
        <v>27</v>
      </c>
      <c r="F757" t="s">
        <v>28</v>
      </c>
      <c r="G757" t="s">
        <v>29</v>
      </c>
      <c r="H757" t="s">
        <v>27</v>
      </c>
      <c r="I757">
        <v>30</v>
      </c>
      <c r="J757">
        <v>20</v>
      </c>
      <c r="K757">
        <v>0.35</v>
      </c>
      <c r="M757">
        <v>0.52</v>
      </c>
      <c r="O757">
        <v>2800</v>
      </c>
      <c r="P757">
        <v>4200</v>
      </c>
      <c r="Q757">
        <v>13000</v>
      </c>
      <c r="T757">
        <v>1.5</v>
      </c>
      <c r="U757">
        <v>0.4</v>
      </c>
      <c r="V757">
        <v>0.9</v>
      </c>
      <c r="W757">
        <v>22</v>
      </c>
      <c r="X757">
        <v>25</v>
      </c>
      <c r="Y757" t="s">
        <v>35</v>
      </c>
    </row>
    <row r="758" spans="1:25">
      <c r="A758" t="s">
        <v>1506</v>
      </c>
      <c r="B758" s="2" t="str">
        <f>Hyperlink("https://www.diodes.com/datasheet/download/DMN63D8LDW.pdf")</f>
        <v>https://www.diodes.com/datasheet/download/DMN63D8LDW.pdf</v>
      </c>
      <c r="C758" t="str">
        <f>Hyperlink("https://www.diodes.com/part/view/DMN63D8LDW","DMN63D8LDW")</f>
        <v>DMN63D8LDW</v>
      </c>
      <c r="D758" t="s">
        <v>39</v>
      </c>
      <c r="E758" t="s">
        <v>27</v>
      </c>
      <c r="F758" t="s">
        <v>28</v>
      </c>
      <c r="G758" t="s">
        <v>40</v>
      </c>
      <c r="H758" t="s">
        <v>27</v>
      </c>
      <c r="I758">
        <v>30</v>
      </c>
      <c r="J758">
        <v>20</v>
      </c>
      <c r="K758">
        <v>0.26</v>
      </c>
      <c r="M758">
        <v>0.4</v>
      </c>
      <c r="O758">
        <v>2800</v>
      </c>
      <c r="P758">
        <v>4200</v>
      </c>
      <c r="Q758">
        <v>13000</v>
      </c>
      <c r="S758">
        <v>0.8</v>
      </c>
      <c r="T758">
        <v>1.5</v>
      </c>
      <c r="U758">
        <v>0.43</v>
      </c>
      <c r="V758">
        <v>0.87</v>
      </c>
      <c r="W758">
        <v>22</v>
      </c>
      <c r="X758">
        <v>25</v>
      </c>
      <c r="Y758" t="s">
        <v>42</v>
      </c>
    </row>
    <row r="759" spans="1:25">
      <c r="A759" t="s">
        <v>1507</v>
      </c>
      <c r="B759" s="2" t="str">
        <f>Hyperlink("https://www.diodes.com/datasheet/download/DMN63D8LV.pdf")</f>
        <v>https://www.diodes.com/datasheet/download/DMN63D8LV.pdf</v>
      </c>
      <c r="C759" t="str">
        <f>Hyperlink("https://www.diodes.com/part/view/DMN63D8LV","DMN63D8LV")</f>
        <v>DMN63D8LV</v>
      </c>
      <c r="D759" t="s">
        <v>39</v>
      </c>
      <c r="E759" t="s">
        <v>27</v>
      </c>
      <c r="F759" t="s">
        <v>28</v>
      </c>
      <c r="G759" t="s">
        <v>40</v>
      </c>
      <c r="H759" t="s">
        <v>27</v>
      </c>
      <c r="I759">
        <v>30</v>
      </c>
      <c r="J759">
        <v>20</v>
      </c>
      <c r="K759">
        <v>0.26</v>
      </c>
      <c r="M759">
        <v>0.45</v>
      </c>
      <c r="O759">
        <v>2800</v>
      </c>
      <c r="P759">
        <v>4200</v>
      </c>
      <c r="Q759">
        <v>13000</v>
      </c>
      <c r="T759">
        <v>1.5</v>
      </c>
      <c r="U759">
        <v>0.43</v>
      </c>
      <c r="V759">
        <v>0.87</v>
      </c>
      <c r="W759">
        <v>22</v>
      </c>
      <c r="Y759" t="s">
        <v>60</v>
      </c>
    </row>
    <row r="760" spans="1:25">
      <c r="A760" t="s">
        <v>1508</v>
      </c>
      <c r="B760" s="2" t="str">
        <f>Hyperlink("https://www.diodes.com/datasheet/download/DMN63D8LW.pdf")</f>
        <v>https://www.diodes.com/datasheet/download/DMN63D8LW.pdf</v>
      </c>
      <c r="C760" t="str">
        <f>Hyperlink("https://www.diodes.com/part/view/DMN63D8LW","DMN63D8LW")</f>
        <v>DMN63D8LW</v>
      </c>
      <c r="D760" t="s">
        <v>26</v>
      </c>
      <c r="E760" t="s">
        <v>27</v>
      </c>
      <c r="F760" t="s">
        <v>28</v>
      </c>
      <c r="G760" t="s">
        <v>29</v>
      </c>
      <c r="H760" t="s">
        <v>27</v>
      </c>
      <c r="I760">
        <v>30</v>
      </c>
      <c r="J760">
        <v>20</v>
      </c>
      <c r="K760">
        <v>0.35</v>
      </c>
      <c r="M760">
        <v>0.42</v>
      </c>
      <c r="O760">
        <v>2800</v>
      </c>
      <c r="P760">
        <v>4200</v>
      </c>
      <c r="Q760">
        <v>13000</v>
      </c>
      <c r="T760">
        <v>1.5</v>
      </c>
      <c r="U760">
        <v>0.4</v>
      </c>
      <c r="V760">
        <v>0.9</v>
      </c>
      <c r="W760">
        <v>22</v>
      </c>
      <c r="Y760" t="s">
        <v>92</v>
      </c>
    </row>
    <row r="761" spans="1:25">
      <c r="A761" t="s">
        <v>1509</v>
      </c>
      <c r="B761" s="2" t="str">
        <f>Hyperlink("https://www.diodes.com/datasheet/download/DMN65D7LFR4.pdf")</f>
        <v>https://www.diodes.com/datasheet/download/DMN65D7LFR4.pdf</v>
      </c>
      <c r="C761" t="str">
        <f>Hyperlink("https://www.diodes.com/part/view/DMN65D7LFR4","DMN65D7LFR4")</f>
        <v>DMN65D7LFR4</v>
      </c>
      <c r="D761" t="s">
        <v>26</v>
      </c>
      <c r="E761" t="s">
        <v>30</v>
      </c>
      <c r="F761" t="s">
        <v>28</v>
      </c>
      <c r="G761" t="s">
        <v>29</v>
      </c>
      <c r="H761" t="s">
        <v>27</v>
      </c>
      <c r="I761">
        <v>60</v>
      </c>
      <c r="J761">
        <v>20</v>
      </c>
      <c r="K761">
        <v>0.26</v>
      </c>
      <c r="L761">
        <v>0.7</v>
      </c>
      <c r="O761">
        <v>5000</v>
      </c>
      <c r="P761">
        <v>5300</v>
      </c>
      <c r="S761">
        <v>1</v>
      </c>
      <c r="T761">
        <v>2.5</v>
      </c>
      <c r="U761">
        <v>0.51</v>
      </c>
      <c r="V761">
        <v>1.04</v>
      </c>
      <c r="W761">
        <v>41</v>
      </c>
      <c r="X761">
        <v>30</v>
      </c>
      <c r="Y761" t="s">
        <v>1510</v>
      </c>
    </row>
    <row r="762" spans="1:25">
      <c r="A762" t="s">
        <v>1511</v>
      </c>
      <c r="B762" s="2" t="str">
        <f>Hyperlink("https://www.diodes.com/datasheet/download/DMN65D8L.pdf")</f>
        <v>https://www.diodes.com/datasheet/download/DMN65D8L.pdf</v>
      </c>
      <c r="C762" t="str">
        <f>Hyperlink("https://www.diodes.com/part/view/DMN65D8L","DMN65D8L")</f>
        <v>DMN65D8L</v>
      </c>
      <c r="D762" t="s">
        <v>26</v>
      </c>
      <c r="E762" t="s">
        <v>27</v>
      </c>
      <c r="F762" t="s">
        <v>28</v>
      </c>
      <c r="G762" t="s">
        <v>29</v>
      </c>
      <c r="H762" t="s">
        <v>27</v>
      </c>
      <c r="I762">
        <v>60</v>
      </c>
      <c r="J762">
        <v>20</v>
      </c>
      <c r="K762">
        <v>0.31</v>
      </c>
      <c r="M762">
        <v>0.54</v>
      </c>
      <c r="O762">
        <v>3000</v>
      </c>
      <c r="P762" t="s">
        <v>1512</v>
      </c>
      <c r="T762">
        <v>2</v>
      </c>
      <c r="U762">
        <v>0.43</v>
      </c>
      <c r="V762">
        <v>0.87</v>
      </c>
      <c r="W762" t="s">
        <v>31</v>
      </c>
      <c r="Y762" t="s">
        <v>32</v>
      </c>
    </row>
    <row r="763" spans="1:25">
      <c r="A763" t="s">
        <v>1513</v>
      </c>
      <c r="B763" s="2" t="str">
        <f>Hyperlink("https://www.diodes.com/datasheet/download/DMN65D8LDW.pdf")</f>
        <v>https://www.diodes.com/datasheet/download/DMN65D8LDW.pdf</v>
      </c>
      <c r="C763" t="str">
        <f>Hyperlink("https://www.diodes.com/part/view/DMN65D8LDW","DMN65D8LDW")</f>
        <v>DMN65D8LDW</v>
      </c>
      <c r="D763" t="s">
        <v>39</v>
      </c>
      <c r="E763" t="s">
        <v>27</v>
      </c>
      <c r="F763" t="s">
        <v>28</v>
      </c>
      <c r="G763" t="s">
        <v>40</v>
      </c>
      <c r="H763" t="s">
        <v>27</v>
      </c>
      <c r="I763">
        <v>60</v>
      </c>
      <c r="J763">
        <v>20</v>
      </c>
      <c r="K763">
        <v>0.2</v>
      </c>
      <c r="M763">
        <v>0.4</v>
      </c>
      <c r="O763">
        <v>6000</v>
      </c>
      <c r="P763" t="s">
        <v>1514</v>
      </c>
      <c r="T763">
        <v>2</v>
      </c>
      <c r="U763">
        <v>0.43</v>
      </c>
      <c r="V763">
        <v>0.87</v>
      </c>
      <c r="W763" t="s">
        <v>31</v>
      </c>
      <c r="Y763" t="s">
        <v>103</v>
      </c>
    </row>
    <row r="764" spans="1:25">
      <c r="A764" t="s">
        <v>1515</v>
      </c>
      <c r="B764" s="2" t="str">
        <f>Hyperlink("https://www.diodes.com/datasheet/download/DMN65D8LDWQ.pdf")</f>
        <v>https://www.diodes.com/datasheet/download/DMN65D8LDWQ.pdf</v>
      </c>
      <c r="C764" t="str">
        <f>Hyperlink("https://www.diodes.com/part/view/DMN65D8LDWQ","DMN65D8LDWQ")</f>
        <v>DMN65D8LDWQ</v>
      </c>
      <c r="D764" t="s">
        <v>39</v>
      </c>
      <c r="E764" t="s">
        <v>27</v>
      </c>
      <c r="F764" t="s">
        <v>37</v>
      </c>
      <c r="G764" t="s">
        <v>40</v>
      </c>
      <c r="H764" t="s">
        <v>27</v>
      </c>
      <c r="I764">
        <v>60</v>
      </c>
      <c r="J764">
        <v>20</v>
      </c>
      <c r="K764">
        <v>0.2</v>
      </c>
      <c r="M764">
        <v>0.4</v>
      </c>
      <c r="O764">
        <v>6000</v>
      </c>
      <c r="P764" t="s">
        <v>1514</v>
      </c>
      <c r="T764">
        <v>2</v>
      </c>
      <c r="U764">
        <v>0.43</v>
      </c>
      <c r="V764">
        <v>0.87</v>
      </c>
      <c r="W764">
        <v>22</v>
      </c>
      <c r="X764">
        <v>25</v>
      </c>
      <c r="Y764" t="s">
        <v>42</v>
      </c>
    </row>
    <row r="765" spans="1:25">
      <c r="A765" t="s">
        <v>1516</v>
      </c>
      <c r="B765" s="2" t="str">
        <f>Hyperlink("https://www.diodes.com/datasheet/download/DMN65D8LFB.pdf")</f>
        <v>https://www.diodes.com/datasheet/download/DMN65D8LFB.pdf</v>
      </c>
      <c r="C765" t="str">
        <f>Hyperlink("https://www.diodes.com/part/view/DMN65D8LFB","DMN65D8LFB")</f>
        <v>DMN65D8LFB</v>
      </c>
      <c r="D765" t="s">
        <v>1384</v>
      </c>
      <c r="E765" t="s">
        <v>27</v>
      </c>
      <c r="F765" t="s">
        <v>28</v>
      </c>
      <c r="G765" t="s">
        <v>29</v>
      </c>
      <c r="H765" t="s">
        <v>27</v>
      </c>
      <c r="I765">
        <v>60</v>
      </c>
      <c r="J765">
        <v>20</v>
      </c>
      <c r="K765">
        <v>0.4</v>
      </c>
      <c r="M765">
        <v>0.84</v>
      </c>
      <c r="O765">
        <v>3000</v>
      </c>
      <c r="P765" t="s">
        <v>1512</v>
      </c>
      <c r="T765">
        <v>2</v>
      </c>
      <c r="W765" t="s">
        <v>1517</v>
      </c>
      <c r="Y765" t="s">
        <v>846</v>
      </c>
    </row>
    <row r="766" spans="1:25">
      <c r="A766" t="s">
        <v>1518</v>
      </c>
      <c r="B766" s="2" t="str">
        <f>Hyperlink("https://www.diodes.com/datasheet/download/DMN65D8LQ.pdf")</f>
        <v>https://www.diodes.com/datasheet/download/DMN65D8LQ.pdf</v>
      </c>
      <c r="C766" t="str">
        <f>Hyperlink("https://www.diodes.com/part/view/DMN65D8LQ","DMN65D8LQ")</f>
        <v>DMN65D8LQ</v>
      </c>
      <c r="D766" t="s">
        <v>26</v>
      </c>
      <c r="E766" t="s">
        <v>27</v>
      </c>
      <c r="F766" t="s">
        <v>37</v>
      </c>
      <c r="G766" t="s">
        <v>29</v>
      </c>
      <c r="H766" t="s">
        <v>27</v>
      </c>
      <c r="I766">
        <v>60</v>
      </c>
      <c r="J766">
        <v>20</v>
      </c>
      <c r="K766">
        <v>0.31</v>
      </c>
      <c r="M766">
        <v>0.54</v>
      </c>
      <c r="O766">
        <v>3000</v>
      </c>
      <c r="P766" t="s">
        <v>1512</v>
      </c>
      <c r="T766">
        <v>2</v>
      </c>
      <c r="U766">
        <v>0.43</v>
      </c>
      <c r="V766">
        <v>0.87</v>
      </c>
      <c r="W766">
        <v>22</v>
      </c>
      <c r="Y766" t="s">
        <v>35</v>
      </c>
    </row>
    <row r="767" spans="1:25">
      <c r="A767" t="s">
        <v>1519</v>
      </c>
      <c r="B767" s="2" t="str">
        <f>Hyperlink("https://www.diodes.com/datasheet/download/DMN65D8LT.pdf")</f>
        <v>https://www.diodes.com/datasheet/download/DMN65D8LT.pdf</v>
      </c>
      <c r="C767" t="str">
        <f>Hyperlink("https://www.diodes.com/part/view/DMN65D8LT","DMN65D8LT")</f>
        <v>DMN65D8LT</v>
      </c>
      <c r="D767" t="s">
        <v>26</v>
      </c>
      <c r="E767" t="s">
        <v>30</v>
      </c>
      <c r="F767" t="s">
        <v>28</v>
      </c>
      <c r="G767" t="s">
        <v>29</v>
      </c>
      <c r="H767" t="s">
        <v>27</v>
      </c>
      <c r="I767">
        <v>60</v>
      </c>
      <c r="J767">
        <v>20</v>
      </c>
      <c r="K767">
        <v>0.21</v>
      </c>
      <c r="M767">
        <v>0.3</v>
      </c>
      <c r="O767">
        <v>5000</v>
      </c>
      <c r="T767">
        <v>2</v>
      </c>
      <c r="U767">
        <v>0.4</v>
      </c>
      <c r="W767">
        <v>24</v>
      </c>
      <c r="X767">
        <v>25</v>
      </c>
      <c r="Y767" t="s">
        <v>56</v>
      </c>
    </row>
    <row r="768" spans="1:25">
      <c r="A768" t="s">
        <v>1520</v>
      </c>
      <c r="B768" s="2" t="str">
        <f>Hyperlink("https://www.diodes.com/datasheet/download/DMN65D8LW.pdf")</f>
        <v>https://www.diodes.com/datasheet/download/DMN65D8LW.pdf</v>
      </c>
      <c r="C768" t="str">
        <f>Hyperlink("https://www.diodes.com/part/view/DMN65D8LW","DMN65D8LW")</f>
        <v>DMN65D8LW</v>
      </c>
      <c r="D768" t="s">
        <v>26</v>
      </c>
      <c r="E768" t="s">
        <v>27</v>
      </c>
      <c r="F768" t="s">
        <v>28</v>
      </c>
      <c r="G768" t="s">
        <v>29</v>
      </c>
      <c r="H768" t="s">
        <v>27</v>
      </c>
      <c r="I768">
        <v>60</v>
      </c>
      <c r="J768">
        <v>20</v>
      </c>
      <c r="K768">
        <v>0.3</v>
      </c>
      <c r="M768">
        <v>0.43</v>
      </c>
      <c r="O768">
        <v>3000</v>
      </c>
      <c r="P768" t="s">
        <v>1512</v>
      </c>
      <c r="T768">
        <v>2</v>
      </c>
      <c r="U768">
        <v>0.43</v>
      </c>
      <c r="V768">
        <v>0.87</v>
      </c>
      <c r="W768" t="s">
        <v>31</v>
      </c>
      <c r="Y768" t="s">
        <v>63</v>
      </c>
    </row>
    <row r="769" spans="1:25">
      <c r="A769" t="s">
        <v>1521</v>
      </c>
      <c r="B769" s="2" t="str">
        <f>Hyperlink("https://www.diodes.com/datasheet/download/DMN65D9L.pdf")</f>
        <v>https://www.diodes.com/datasheet/download/DMN65D9L.pdf</v>
      </c>
      <c r="C769" t="str">
        <f>Hyperlink("https://www.diodes.com/part/view/DMN65D9L","DMN65D9L")</f>
        <v>DMN65D9L</v>
      </c>
      <c r="D769" t="s">
        <v>26</v>
      </c>
      <c r="E769" t="s">
        <v>30</v>
      </c>
      <c r="F769" t="s">
        <v>28</v>
      </c>
      <c r="G769" t="s">
        <v>29</v>
      </c>
      <c r="H769" t="s">
        <v>27</v>
      </c>
      <c r="I769">
        <v>60</v>
      </c>
      <c r="J769">
        <v>16</v>
      </c>
      <c r="K769">
        <v>0.335</v>
      </c>
      <c r="M769">
        <v>0.67</v>
      </c>
      <c r="O769">
        <v>4000</v>
      </c>
      <c r="P769" t="s">
        <v>1522</v>
      </c>
      <c r="T769">
        <v>2.5</v>
      </c>
      <c r="U769">
        <v>0.4</v>
      </c>
      <c r="W769">
        <v>41</v>
      </c>
      <c r="X769">
        <v>25</v>
      </c>
      <c r="Y769" t="s">
        <v>35</v>
      </c>
    </row>
    <row r="770" spans="1:25">
      <c r="A770" t="s">
        <v>1523</v>
      </c>
      <c r="B770" s="2" t="str">
        <f>Hyperlink("https://www.diodes.com/datasheet/download/DMN66D0LDW.pdf")</f>
        <v>https://www.diodes.com/datasheet/download/DMN66D0LDW.pdf</v>
      </c>
      <c r="C770" t="str">
        <f>Hyperlink("https://www.diodes.com/part/view/DMN66D0LDW","DMN66D0LDW")</f>
        <v>DMN66D0LDW</v>
      </c>
      <c r="D770" t="s">
        <v>39</v>
      </c>
      <c r="E770" t="s">
        <v>27</v>
      </c>
      <c r="F770" t="s">
        <v>28</v>
      </c>
      <c r="G770" t="s">
        <v>40</v>
      </c>
      <c r="H770" t="s">
        <v>27</v>
      </c>
      <c r="I770">
        <v>60</v>
      </c>
      <c r="J770">
        <v>20</v>
      </c>
      <c r="K770">
        <v>0.115</v>
      </c>
      <c r="M770">
        <v>0.25</v>
      </c>
      <c r="O770">
        <v>5000</v>
      </c>
      <c r="P770" t="s">
        <v>1524</v>
      </c>
      <c r="T770">
        <v>2</v>
      </c>
      <c r="W770" t="s">
        <v>34</v>
      </c>
      <c r="Y770" t="s">
        <v>103</v>
      </c>
    </row>
    <row r="771" spans="1:25">
      <c r="A771" t="s">
        <v>1525</v>
      </c>
      <c r="B771" s="2" t="str">
        <f>Hyperlink("https://www.diodes.com/datasheet/download/DMN66D0LDWQ.pdf")</f>
        <v>https://www.diodes.com/datasheet/download/DMN66D0LDWQ.pdf</v>
      </c>
      <c r="C771" t="str">
        <f>Hyperlink("https://www.diodes.com/part/view/DMN66D0LDWQ","DMN66D0LDWQ")</f>
        <v>DMN66D0LDWQ</v>
      </c>
      <c r="D771" t="s">
        <v>39</v>
      </c>
      <c r="E771" t="s">
        <v>27</v>
      </c>
      <c r="F771" t="s">
        <v>37</v>
      </c>
      <c r="G771" t="s">
        <v>40</v>
      </c>
      <c r="H771" t="s">
        <v>27</v>
      </c>
      <c r="I771">
        <v>60</v>
      </c>
      <c r="J771">
        <v>20</v>
      </c>
      <c r="K771">
        <v>0.217</v>
      </c>
      <c r="M771">
        <v>0.47</v>
      </c>
      <c r="O771">
        <v>5000</v>
      </c>
      <c r="P771" t="s">
        <v>1524</v>
      </c>
      <c r="T771">
        <v>2</v>
      </c>
      <c r="U771">
        <v>0.5</v>
      </c>
      <c r="V771">
        <v>0.9</v>
      </c>
      <c r="W771">
        <v>29.3</v>
      </c>
      <c r="X771">
        <v>25</v>
      </c>
      <c r="Y771" t="s">
        <v>42</v>
      </c>
    </row>
    <row r="772" spans="1:25">
      <c r="A772" t="s">
        <v>1526</v>
      </c>
      <c r="B772" s="2" t="str">
        <f>Hyperlink("https://www.diodes.com/datasheet/download/DMN66D0LT.pdf")</f>
        <v>https://www.diodes.com/datasheet/download/DMN66D0LT.pdf</v>
      </c>
      <c r="C772" t="str">
        <f>Hyperlink("https://www.diodes.com/part/view/DMN66D0LT","DMN66D0LT")</f>
        <v>DMN66D0LT</v>
      </c>
      <c r="D772" t="s">
        <v>1384</v>
      </c>
      <c r="E772" t="s">
        <v>27</v>
      </c>
      <c r="F772" t="s">
        <v>28</v>
      </c>
      <c r="G772" t="s">
        <v>29</v>
      </c>
      <c r="H772" t="s">
        <v>27</v>
      </c>
      <c r="I772">
        <v>60</v>
      </c>
      <c r="J772">
        <v>20</v>
      </c>
      <c r="K772">
        <v>0.115</v>
      </c>
      <c r="M772">
        <v>0.2</v>
      </c>
      <c r="O772">
        <v>5000</v>
      </c>
      <c r="P772" t="s">
        <v>1524</v>
      </c>
      <c r="T772">
        <v>2</v>
      </c>
      <c r="W772" t="s">
        <v>34</v>
      </c>
      <c r="Y772" t="s">
        <v>56</v>
      </c>
    </row>
    <row r="773" spans="1:25">
      <c r="A773" t="s">
        <v>1527</v>
      </c>
      <c r="B773" s="2" t="str">
        <f>Hyperlink("https://www.diodes.com/datasheet/download/DMN67D7L.pdf")</f>
        <v>https://www.diodes.com/datasheet/download/DMN67D7L.pdf</v>
      </c>
      <c r="C773" t="str">
        <f>Hyperlink("https://www.diodes.com/part/view/DMN67D7L","DMN67D7L")</f>
        <v>DMN67D7L</v>
      </c>
      <c r="D773" t="s">
        <v>1384</v>
      </c>
      <c r="E773" t="s">
        <v>30</v>
      </c>
      <c r="F773" t="s">
        <v>28</v>
      </c>
      <c r="G773" t="s">
        <v>29</v>
      </c>
      <c r="H773" t="s">
        <v>30</v>
      </c>
      <c r="I773">
        <v>60</v>
      </c>
      <c r="J773">
        <v>40</v>
      </c>
      <c r="K773">
        <v>0.21</v>
      </c>
      <c r="M773">
        <v>0.57</v>
      </c>
      <c r="O773">
        <v>5000</v>
      </c>
      <c r="P773" t="s">
        <v>1528</v>
      </c>
      <c r="T773">
        <v>2.5</v>
      </c>
      <c r="U773">
        <v>0.361</v>
      </c>
      <c r="V773">
        <v>0.821</v>
      </c>
      <c r="W773">
        <v>22</v>
      </c>
      <c r="X773">
        <v>25</v>
      </c>
      <c r="Y773" t="s">
        <v>35</v>
      </c>
    </row>
    <row r="774" spans="1:25">
      <c r="A774" t="s">
        <v>1529</v>
      </c>
      <c r="B774" s="2" t="str">
        <f>Hyperlink("https://www.diodes.com/datasheet/download/DMN67D8L.pdf")</f>
        <v>https://www.diodes.com/datasheet/download/DMN67D8L.pdf</v>
      </c>
      <c r="C774" t="str">
        <f>Hyperlink("https://www.diodes.com/part/view/DMN67D8L","DMN67D8L")</f>
        <v>DMN67D8L</v>
      </c>
      <c r="D774" t="s">
        <v>1384</v>
      </c>
      <c r="E774" t="s">
        <v>27</v>
      </c>
      <c r="F774" t="s">
        <v>28</v>
      </c>
      <c r="G774" t="s">
        <v>29</v>
      </c>
      <c r="H774" t="s">
        <v>30</v>
      </c>
      <c r="I774">
        <v>60</v>
      </c>
      <c r="J774">
        <v>30</v>
      </c>
      <c r="K774">
        <v>0.21</v>
      </c>
      <c r="M774">
        <v>0.57</v>
      </c>
      <c r="O774">
        <v>5000</v>
      </c>
      <c r="P774" t="s">
        <v>1528</v>
      </c>
      <c r="T774">
        <v>2.5</v>
      </c>
      <c r="U774">
        <v>0.361</v>
      </c>
      <c r="V774">
        <v>0.821</v>
      </c>
      <c r="W774">
        <v>22</v>
      </c>
      <c r="X774">
        <v>25</v>
      </c>
      <c r="Y774" t="s">
        <v>32</v>
      </c>
    </row>
    <row r="775" spans="1:25">
      <c r="A775" t="s">
        <v>1530</v>
      </c>
      <c r="B775" s="2" t="str">
        <f>Hyperlink("https://www.diodes.com/datasheet/download/DMN67D8LDW.pdf")</f>
        <v>https://www.diodes.com/datasheet/download/DMN67D8LDW.pdf</v>
      </c>
      <c r="C775" t="str">
        <f>Hyperlink("https://www.diodes.com/part/view/DMN67D8LDW","DMN67D8LDW")</f>
        <v>DMN67D8LDW</v>
      </c>
      <c r="D775" t="s">
        <v>46</v>
      </c>
      <c r="E775" t="s">
        <v>27</v>
      </c>
      <c r="F775" t="s">
        <v>28</v>
      </c>
      <c r="G775" t="s">
        <v>40</v>
      </c>
      <c r="H775" t="s">
        <v>30</v>
      </c>
      <c r="I775">
        <v>60</v>
      </c>
      <c r="J775">
        <v>30</v>
      </c>
      <c r="K775">
        <v>0.23</v>
      </c>
      <c r="M775">
        <v>0.41</v>
      </c>
      <c r="O775">
        <v>5000</v>
      </c>
      <c r="P775" t="s">
        <v>1528</v>
      </c>
      <c r="T775">
        <v>2.5</v>
      </c>
      <c r="U775">
        <v>0.361</v>
      </c>
      <c r="V775">
        <v>0.821</v>
      </c>
      <c r="W775">
        <v>22</v>
      </c>
      <c r="X775">
        <v>25</v>
      </c>
      <c r="Y775" t="s">
        <v>42</v>
      </c>
    </row>
    <row r="776" spans="1:25">
      <c r="A776" t="s">
        <v>1531</v>
      </c>
      <c r="B776" s="2" t="str">
        <f>Hyperlink("https://www.diodes.com/datasheet/download/DMN67D8LT.pdf")</f>
        <v>https://www.diodes.com/datasheet/download/DMN67D8LT.pdf</v>
      </c>
      <c r="C776" t="str">
        <f>Hyperlink("https://www.diodes.com/part/view/DMN67D8LT","DMN67D8LT")</f>
        <v>DMN67D8LT</v>
      </c>
      <c r="D776" t="s">
        <v>26</v>
      </c>
      <c r="E776" t="s">
        <v>30</v>
      </c>
      <c r="F776" t="s">
        <v>28</v>
      </c>
      <c r="G776" t="s">
        <v>29</v>
      </c>
      <c r="H776" t="s">
        <v>30</v>
      </c>
      <c r="I776">
        <v>60</v>
      </c>
      <c r="J776">
        <v>20</v>
      </c>
      <c r="K776">
        <v>0.21</v>
      </c>
      <c r="M776">
        <v>0.35</v>
      </c>
      <c r="O776">
        <v>5000</v>
      </c>
      <c r="P776" t="s">
        <v>1532</v>
      </c>
      <c r="S776">
        <v>1</v>
      </c>
      <c r="T776">
        <v>2.5</v>
      </c>
      <c r="U776">
        <v>0.361</v>
      </c>
      <c r="V776">
        <v>0.821</v>
      </c>
      <c r="W776">
        <v>22</v>
      </c>
      <c r="X776">
        <v>25</v>
      </c>
      <c r="Y776" t="s">
        <v>56</v>
      </c>
    </row>
    <row r="777" spans="1:25">
      <c r="A777" t="s">
        <v>1533</v>
      </c>
      <c r="B777" s="2" t="str">
        <f>Hyperlink("https://www.diodes.com/datasheet/download/DMN67D8LW.pdf")</f>
        <v>https://www.diodes.com/datasheet/download/DMN67D8LW.pdf</v>
      </c>
      <c r="C777" t="str">
        <f>Hyperlink("https://www.diodes.com/part/view/DMN67D8LW","DMN67D8LW")</f>
        <v>DMN67D8LW</v>
      </c>
      <c r="D777" t="s">
        <v>1384</v>
      </c>
      <c r="E777" t="s">
        <v>27</v>
      </c>
      <c r="F777" t="s">
        <v>28</v>
      </c>
      <c r="G777" t="s">
        <v>29</v>
      </c>
      <c r="H777" t="s">
        <v>30</v>
      </c>
      <c r="I777">
        <v>60</v>
      </c>
      <c r="J777">
        <v>30</v>
      </c>
      <c r="K777">
        <v>0.24</v>
      </c>
      <c r="M777">
        <v>0.47</v>
      </c>
      <c r="O777">
        <v>5000</v>
      </c>
      <c r="P777" t="s">
        <v>1528</v>
      </c>
      <c r="T777">
        <v>2.5</v>
      </c>
      <c r="U777">
        <v>0.361</v>
      </c>
      <c r="V777">
        <v>0.821</v>
      </c>
      <c r="W777">
        <v>22</v>
      </c>
      <c r="X777">
        <v>25</v>
      </c>
      <c r="Y777" t="s">
        <v>92</v>
      </c>
    </row>
    <row r="778" spans="1:25">
      <c r="A778" t="s">
        <v>1534</v>
      </c>
      <c r="B778" s="2" t="str">
        <f>Hyperlink("https://www.diodes.com/datasheet/download/DMN68M7SCT.pdf")</f>
        <v>https://www.diodes.com/datasheet/download/DMN68M7SCT.pdf</v>
      </c>
      <c r="C778" t="str">
        <f>Hyperlink("https://www.diodes.com/part/view/DMN68M7SCT","DMN68M7SCT")</f>
        <v>DMN68M7SCT</v>
      </c>
      <c r="D778" t="s">
        <v>26</v>
      </c>
      <c r="E778" t="s">
        <v>30</v>
      </c>
      <c r="F778" t="s">
        <v>28</v>
      </c>
      <c r="G778" t="s">
        <v>29</v>
      </c>
      <c r="H778" t="s">
        <v>30</v>
      </c>
      <c r="I778">
        <v>68</v>
      </c>
      <c r="J778">
        <v>20</v>
      </c>
      <c r="L778">
        <v>100</v>
      </c>
      <c r="N778">
        <v>125</v>
      </c>
      <c r="O778">
        <v>8</v>
      </c>
      <c r="T778">
        <v>3</v>
      </c>
      <c r="U778">
        <v>36</v>
      </c>
      <c r="V778">
        <v>72.9</v>
      </c>
      <c r="W778">
        <v>4260</v>
      </c>
      <c r="X778">
        <v>30</v>
      </c>
      <c r="Y778" t="s">
        <v>1535</v>
      </c>
    </row>
    <row r="779" spans="1:25">
      <c r="A779" t="s">
        <v>1536</v>
      </c>
      <c r="B779" s="2" t="str">
        <f>Hyperlink("https://www.diodes.com/datasheet/download/DMNH10H021SPSW.pdf")</f>
        <v>https://www.diodes.com/datasheet/download/DMNH10H021SPSW.pdf</v>
      </c>
      <c r="C779" t="str">
        <f>Hyperlink("https://www.diodes.com/part/view/DMNH10H021SPSW","DMNH10H021SPSW")</f>
        <v>DMNH10H021SPSW</v>
      </c>
      <c r="D779" t="s">
        <v>1537</v>
      </c>
      <c r="E779" t="s">
        <v>30</v>
      </c>
      <c r="F779" t="s">
        <v>28</v>
      </c>
      <c r="G779" t="s">
        <v>29</v>
      </c>
      <c r="H779" t="s">
        <v>30</v>
      </c>
      <c r="I779">
        <v>100</v>
      </c>
      <c r="J779">
        <v>20</v>
      </c>
      <c r="L779">
        <v>58</v>
      </c>
      <c r="M779">
        <v>4.4</v>
      </c>
      <c r="O779">
        <v>28</v>
      </c>
      <c r="T779">
        <v>4</v>
      </c>
      <c r="V779">
        <v>71</v>
      </c>
      <c r="W779">
        <v>3789</v>
      </c>
      <c r="X779">
        <v>50</v>
      </c>
      <c r="Y779" t="s">
        <v>907</v>
      </c>
    </row>
    <row r="780" spans="1:25">
      <c r="A780" t="s">
        <v>1538</v>
      </c>
      <c r="B780" s="2" t="str">
        <f>Hyperlink("https://www.diodes.com/datasheet/download/DMNH10H028SCT.pdf")</f>
        <v>https://www.diodes.com/datasheet/download/DMNH10H028SCT.pdf</v>
      </c>
      <c r="C780" t="str">
        <f>Hyperlink("https://www.diodes.com/part/view/DMNH10H028SCT","DMNH10H028SCT")</f>
        <v>DMNH10H028SCT</v>
      </c>
      <c r="D780" t="s">
        <v>1537</v>
      </c>
      <c r="E780" t="s">
        <v>27</v>
      </c>
      <c r="F780" t="s">
        <v>28</v>
      </c>
      <c r="G780" t="s">
        <v>29</v>
      </c>
      <c r="H780" t="s">
        <v>30</v>
      </c>
      <c r="I780">
        <v>100</v>
      </c>
      <c r="J780">
        <v>20</v>
      </c>
      <c r="L780">
        <v>60</v>
      </c>
      <c r="M780">
        <v>2.8</v>
      </c>
      <c r="O780">
        <v>28</v>
      </c>
      <c r="T780">
        <v>4</v>
      </c>
      <c r="V780">
        <v>31.9</v>
      </c>
      <c r="W780">
        <v>1942</v>
      </c>
      <c r="X780">
        <v>50</v>
      </c>
      <c r="Y780" t="s">
        <v>1535</v>
      </c>
    </row>
    <row r="781" spans="1:25">
      <c r="A781" t="s">
        <v>1539</v>
      </c>
      <c r="B781" s="2" t="str">
        <f>Hyperlink("https://www.diodes.com/datasheet/download/DMNH10H028SK3.pdf")</f>
        <v>https://www.diodes.com/datasheet/download/DMNH10H028SK3.pdf</v>
      </c>
      <c r="C781" t="str">
        <f>Hyperlink("https://www.diodes.com/part/view/DMNH10H028SK3","DMNH10H028SK3")</f>
        <v>DMNH10H028SK3</v>
      </c>
      <c r="D781" t="s">
        <v>1537</v>
      </c>
      <c r="E781" t="s">
        <v>27</v>
      </c>
      <c r="F781" t="s">
        <v>28</v>
      </c>
      <c r="G781" t="s">
        <v>29</v>
      </c>
      <c r="H781" t="s">
        <v>30</v>
      </c>
      <c r="I781">
        <v>100</v>
      </c>
      <c r="J781">
        <v>20</v>
      </c>
      <c r="L781">
        <v>55</v>
      </c>
      <c r="M781">
        <v>3.7</v>
      </c>
      <c r="N781">
        <v>125</v>
      </c>
      <c r="O781">
        <v>28</v>
      </c>
      <c r="T781">
        <v>3.3</v>
      </c>
      <c r="V781">
        <v>36</v>
      </c>
      <c r="W781">
        <v>2245</v>
      </c>
      <c r="Y781" t="s">
        <v>681</v>
      </c>
    </row>
    <row r="782" spans="1:25">
      <c r="A782" t="s">
        <v>1540</v>
      </c>
      <c r="B782" s="2" t="str">
        <f>Hyperlink("https://www.diodes.com/datasheet/download/DMNH10H028SK3Q.pdf")</f>
        <v>https://www.diodes.com/datasheet/download/DMNH10H028SK3Q.pdf</v>
      </c>
      <c r="C782" t="str">
        <f>Hyperlink("https://www.diodes.com/part/view/DMNH10H028SK3Q","DMNH10H028SK3Q")</f>
        <v>DMNH10H028SK3Q</v>
      </c>
      <c r="D782" t="s">
        <v>1537</v>
      </c>
      <c r="E782" t="s">
        <v>27</v>
      </c>
      <c r="F782" t="s">
        <v>37</v>
      </c>
      <c r="G782" t="s">
        <v>29</v>
      </c>
      <c r="H782" t="s">
        <v>30</v>
      </c>
      <c r="I782">
        <v>100</v>
      </c>
      <c r="J782">
        <v>20</v>
      </c>
      <c r="L782">
        <v>55</v>
      </c>
      <c r="M782">
        <v>3.7</v>
      </c>
      <c r="N782">
        <v>125</v>
      </c>
      <c r="O782">
        <v>28</v>
      </c>
      <c r="T782">
        <v>4</v>
      </c>
      <c r="V782">
        <v>36</v>
      </c>
      <c r="W782">
        <v>2245</v>
      </c>
      <c r="X782">
        <v>50</v>
      </c>
      <c r="Y782" t="s">
        <v>681</v>
      </c>
    </row>
    <row r="783" spans="1:25">
      <c r="A783" t="s">
        <v>1541</v>
      </c>
      <c r="B783" s="2" t="str">
        <f>Hyperlink("https://www.diodes.com/datasheet/download/DMNH10H028SPS.pdf")</f>
        <v>https://www.diodes.com/datasheet/download/DMNH10H028SPS.pdf</v>
      </c>
      <c r="C783" t="str">
        <f>Hyperlink("https://www.diodes.com/part/view/DMNH10H028SPS","DMNH10H028SPS")</f>
        <v>DMNH10H028SPS</v>
      </c>
      <c r="D783" t="s">
        <v>1537</v>
      </c>
      <c r="E783" t="s">
        <v>27</v>
      </c>
      <c r="F783" t="s">
        <v>28</v>
      </c>
      <c r="G783" t="s">
        <v>29</v>
      </c>
      <c r="H783" t="s">
        <v>30</v>
      </c>
      <c r="I783">
        <v>100</v>
      </c>
      <c r="J783">
        <v>20</v>
      </c>
      <c r="L783">
        <v>40</v>
      </c>
      <c r="M783">
        <v>2.9</v>
      </c>
      <c r="N783">
        <v>166</v>
      </c>
      <c r="O783">
        <v>28</v>
      </c>
      <c r="T783">
        <v>4</v>
      </c>
      <c r="V783">
        <v>36</v>
      </c>
      <c r="W783">
        <v>2245</v>
      </c>
      <c r="X783">
        <v>50</v>
      </c>
      <c r="Y783" t="s">
        <v>907</v>
      </c>
    </row>
    <row r="784" spans="1:25">
      <c r="A784" t="s">
        <v>1542</v>
      </c>
      <c r="B784" s="2" t="str">
        <f>Hyperlink("https://www.diodes.com/datasheet/download/DMNH10H028SPSQ.pdf")</f>
        <v>https://www.diodes.com/datasheet/download/DMNH10H028SPSQ.pdf</v>
      </c>
      <c r="C784" t="str">
        <f>Hyperlink("https://www.diodes.com/part/view/DMNH10H028SPSQ","DMNH10H028SPSQ")</f>
        <v>DMNH10H028SPSQ</v>
      </c>
      <c r="D784" t="s">
        <v>1537</v>
      </c>
      <c r="E784" t="s">
        <v>27</v>
      </c>
      <c r="F784" t="s">
        <v>37</v>
      </c>
      <c r="G784" t="s">
        <v>29</v>
      </c>
      <c r="H784" t="s">
        <v>30</v>
      </c>
      <c r="I784">
        <v>100</v>
      </c>
      <c r="J784">
        <v>20</v>
      </c>
      <c r="L784">
        <v>63</v>
      </c>
      <c r="M784">
        <v>2.9</v>
      </c>
      <c r="N784">
        <v>166</v>
      </c>
      <c r="O784">
        <v>28</v>
      </c>
      <c r="T784">
        <v>4</v>
      </c>
      <c r="V784">
        <v>36</v>
      </c>
      <c r="W784">
        <v>2245</v>
      </c>
      <c r="X784">
        <v>50</v>
      </c>
      <c r="Y784" t="s">
        <v>907</v>
      </c>
    </row>
    <row r="785" spans="1:25">
      <c r="A785" t="s">
        <v>1543</v>
      </c>
      <c r="B785" s="2" t="str">
        <f>Hyperlink("https://www.diodes.com/datasheet/download/DMNH10H028SPSW.pdf")</f>
        <v>https://www.diodes.com/datasheet/download/DMNH10H028SPSW.pdf</v>
      </c>
      <c r="C785" t="str">
        <f>Hyperlink("https://www.diodes.com/part/view/DMNH10H028SPSW","DMNH10H028SPSW")</f>
        <v>DMNH10H028SPSW</v>
      </c>
      <c r="D785" t="s">
        <v>1544</v>
      </c>
      <c r="E785" t="s">
        <v>30</v>
      </c>
      <c r="F785" t="s">
        <v>28</v>
      </c>
      <c r="G785" t="s">
        <v>29</v>
      </c>
      <c r="H785" t="s">
        <v>30</v>
      </c>
      <c r="I785">
        <v>100</v>
      </c>
      <c r="J785">
        <v>20</v>
      </c>
      <c r="L785">
        <v>40</v>
      </c>
      <c r="M785">
        <v>2.9</v>
      </c>
      <c r="O785">
        <v>28</v>
      </c>
      <c r="S785">
        <v>2</v>
      </c>
      <c r="T785">
        <v>4</v>
      </c>
      <c r="U785" t="s">
        <v>1545</v>
      </c>
      <c r="V785">
        <v>36</v>
      </c>
      <c r="W785">
        <v>2245</v>
      </c>
      <c r="X785">
        <v>50</v>
      </c>
      <c r="Y785" t="s">
        <v>1546</v>
      </c>
    </row>
    <row r="786" spans="1:25">
      <c r="A786" t="s">
        <v>1547</v>
      </c>
      <c r="B786" s="2" t="str">
        <f>Hyperlink("https://www.diodes.com/datasheet/download/DMNH10H028SPSWQ.pdf")</f>
        <v>https://www.diodes.com/datasheet/download/DMNH10H028SPSWQ.pdf</v>
      </c>
      <c r="C786" t="str">
        <f>Hyperlink("https://www.diodes.com/part/view/DMNH10H028SPSWQ","DMNH10H028SPSWQ")</f>
        <v>DMNH10H028SPSWQ</v>
      </c>
      <c r="D786" t="s">
        <v>1544</v>
      </c>
      <c r="E786" t="s">
        <v>27</v>
      </c>
      <c r="F786" t="s">
        <v>37</v>
      </c>
      <c r="G786" t="s">
        <v>29</v>
      </c>
      <c r="H786" t="s">
        <v>30</v>
      </c>
      <c r="I786">
        <v>100</v>
      </c>
      <c r="J786">
        <v>20</v>
      </c>
      <c r="L786">
        <v>40</v>
      </c>
      <c r="M786">
        <v>2.9</v>
      </c>
      <c r="O786">
        <v>28</v>
      </c>
      <c r="S786">
        <v>2</v>
      </c>
      <c r="T786">
        <v>4</v>
      </c>
      <c r="U786" t="s">
        <v>1548</v>
      </c>
      <c r="V786">
        <v>36</v>
      </c>
      <c r="W786">
        <v>2245</v>
      </c>
      <c r="X786">
        <v>50</v>
      </c>
      <c r="Y786" t="s">
        <v>1546</v>
      </c>
    </row>
    <row r="787" spans="1:25">
      <c r="A787" t="s">
        <v>1549</v>
      </c>
      <c r="B787" s="2" t="str">
        <f>Hyperlink("https://www.diodes.com/datasheet/download/DMNH3010LK3.pdf")</f>
        <v>https://www.diodes.com/datasheet/download/DMNH3010LK3.pdf</v>
      </c>
      <c r="C787" t="str">
        <f>Hyperlink("https://www.diodes.com/part/view/DMNH3010LK3","DMNH3010LK3")</f>
        <v>DMNH3010LK3</v>
      </c>
      <c r="D787" t="s">
        <v>1550</v>
      </c>
      <c r="E787" t="s">
        <v>27</v>
      </c>
      <c r="F787" t="s">
        <v>28</v>
      </c>
      <c r="G787" t="s">
        <v>29</v>
      </c>
      <c r="H787" t="s">
        <v>30</v>
      </c>
      <c r="I787">
        <v>30</v>
      </c>
      <c r="J787">
        <v>20</v>
      </c>
      <c r="K787">
        <v>15</v>
      </c>
      <c r="L787">
        <v>55</v>
      </c>
      <c r="M787">
        <v>3.2</v>
      </c>
      <c r="O787">
        <v>9.5</v>
      </c>
      <c r="P787">
        <v>11.5</v>
      </c>
      <c r="T787">
        <v>2.5</v>
      </c>
      <c r="U787">
        <v>16.1</v>
      </c>
      <c r="V787">
        <v>37</v>
      </c>
      <c r="W787">
        <v>2075</v>
      </c>
      <c r="X787">
        <v>15</v>
      </c>
      <c r="Y787" t="s">
        <v>681</v>
      </c>
    </row>
    <row r="788" spans="1:25">
      <c r="A788" t="s">
        <v>1551</v>
      </c>
      <c r="B788" s="2" t="str">
        <f>Hyperlink("https://www.diodes.com/datasheet/download/DMNH4004SPS.pdf")</f>
        <v>https://www.diodes.com/datasheet/download/DMNH4004SPS.pdf</v>
      </c>
      <c r="C788" t="str">
        <f>Hyperlink("https://www.diodes.com/part/view/DMNH4004SPS","DMNH4004SPS")</f>
        <v>DMNH4004SPS</v>
      </c>
      <c r="D788" t="s">
        <v>1552</v>
      </c>
      <c r="E788" t="s">
        <v>30</v>
      </c>
      <c r="F788" t="s">
        <v>28</v>
      </c>
      <c r="G788" t="s">
        <v>29</v>
      </c>
      <c r="H788" t="s">
        <v>30</v>
      </c>
      <c r="I788">
        <v>40</v>
      </c>
      <c r="J788">
        <v>20</v>
      </c>
      <c r="L788">
        <v>100</v>
      </c>
      <c r="M788">
        <v>2.8</v>
      </c>
      <c r="O788">
        <v>6</v>
      </c>
      <c r="T788">
        <v>3.5</v>
      </c>
      <c r="V788">
        <v>40</v>
      </c>
      <c r="W788">
        <v>2284</v>
      </c>
      <c r="X788">
        <v>25</v>
      </c>
      <c r="Y788" t="s">
        <v>907</v>
      </c>
    </row>
    <row r="789" spans="1:25">
      <c r="A789" t="s">
        <v>1553</v>
      </c>
      <c r="B789" s="2" t="str">
        <f>Hyperlink("https://www.diodes.com/datasheet/download/DMNH4005SCT.pdf")</f>
        <v>https://www.diodes.com/datasheet/download/DMNH4005SCT.pdf</v>
      </c>
      <c r="C789" t="str">
        <f>Hyperlink("https://www.diodes.com/part/view/DMNH4005SCT","DMNH4005SCT")</f>
        <v>DMNH4005SCT</v>
      </c>
      <c r="D789" t="s">
        <v>1552</v>
      </c>
      <c r="E789" t="s">
        <v>27</v>
      </c>
      <c r="F789" t="s">
        <v>28</v>
      </c>
      <c r="G789" t="s">
        <v>29</v>
      </c>
      <c r="H789" t="s">
        <v>30</v>
      </c>
      <c r="I789">
        <v>40</v>
      </c>
      <c r="J789">
        <v>20</v>
      </c>
      <c r="L789">
        <v>150</v>
      </c>
      <c r="N789">
        <v>165</v>
      </c>
      <c r="O789">
        <v>4</v>
      </c>
      <c r="T789">
        <v>3</v>
      </c>
      <c r="U789">
        <v>23</v>
      </c>
      <c r="V789">
        <v>48</v>
      </c>
      <c r="W789">
        <v>2846</v>
      </c>
      <c r="X789">
        <v>20</v>
      </c>
      <c r="Y789" t="s">
        <v>1535</v>
      </c>
    </row>
    <row r="790" spans="1:25">
      <c r="A790" t="s">
        <v>1554</v>
      </c>
      <c r="B790" s="2" t="str">
        <f>Hyperlink("https://www.diodes.com/datasheet/download/DMNH4005SCTQ.pdf")</f>
        <v>https://www.diodes.com/datasheet/download/DMNH4005SCTQ.pdf</v>
      </c>
      <c r="C790" t="str">
        <f>Hyperlink("https://www.diodes.com/part/view/DMNH4005SCTQ","DMNH4005SCTQ")</f>
        <v>DMNH4005SCTQ</v>
      </c>
      <c r="D790" t="s">
        <v>1555</v>
      </c>
      <c r="E790" t="s">
        <v>27</v>
      </c>
      <c r="F790" t="s">
        <v>37</v>
      </c>
      <c r="G790" t="s">
        <v>29</v>
      </c>
      <c r="H790" t="s">
        <v>30</v>
      </c>
      <c r="I790">
        <v>40</v>
      </c>
      <c r="J790">
        <v>20</v>
      </c>
      <c r="L790">
        <v>150</v>
      </c>
      <c r="N790">
        <v>165</v>
      </c>
      <c r="O790">
        <v>4</v>
      </c>
      <c r="T790">
        <v>3</v>
      </c>
      <c r="U790">
        <v>23</v>
      </c>
      <c r="V790">
        <v>48</v>
      </c>
      <c r="W790">
        <v>2846</v>
      </c>
      <c r="X790">
        <v>20</v>
      </c>
      <c r="Y790" t="s">
        <v>1535</v>
      </c>
    </row>
    <row r="791" spans="1:25">
      <c r="A791" t="s">
        <v>1556</v>
      </c>
      <c r="B791" s="2" t="str">
        <f>Hyperlink("https://www.diodes.com/datasheet/download/DMNH4005SPS.pdf")</f>
        <v>https://www.diodes.com/datasheet/download/DMNH4005SPS.pdf</v>
      </c>
      <c r="C791" t="str">
        <f>Hyperlink("https://www.diodes.com/part/view/DMNH4005SPS","DMNH4005SPS")</f>
        <v>DMNH4005SPS</v>
      </c>
      <c r="D791" t="s">
        <v>1552</v>
      </c>
      <c r="E791" t="s">
        <v>27</v>
      </c>
      <c r="F791" t="s">
        <v>28</v>
      </c>
      <c r="G791" t="s">
        <v>29</v>
      </c>
      <c r="H791" t="s">
        <v>30</v>
      </c>
      <c r="I791">
        <v>40</v>
      </c>
      <c r="J791">
        <v>20</v>
      </c>
      <c r="L791">
        <v>120</v>
      </c>
      <c r="M791">
        <v>2.8</v>
      </c>
      <c r="O791">
        <v>4</v>
      </c>
      <c r="T791">
        <v>3</v>
      </c>
      <c r="U791">
        <v>23</v>
      </c>
      <c r="V791">
        <v>48</v>
      </c>
      <c r="W791">
        <v>2847</v>
      </c>
      <c r="X791">
        <v>20</v>
      </c>
      <c r="Y791" t="s">
        <v>907</v>
      </c>
    </row>
    <row r="792" spans="1:25">
      <c r="A792" t="s">
        <v>1557</v>
      </c>
      <c r="B792" s="2" t="str">
        <f>Hyperlink("https://www.diodes.com/datasheet/download/DMNH4005SPSQ.pdf")</f>
        <v>https://www.diodes.com/datasheet/download/DMNH4005SPSQ.pdf</v>
      </c>
      <c r="C792" t="str">
        <f>Hyperlink("https://www.diodes.com/part/view/DMNH4005SPSQ","DMNH4005SPSQ")</f>
        <v>DMNH4005SPSQ</v>
      </c>
      <c r="D792" t="s">
        <v>1555</v>
      </c>
      <c r="E792" t="s">
        <v>27</v>
      </c>
      <c r="F792" t="s">
        <v>37</v>
      </c>
      <c r="G792" t="s">
        <v>29</v>
      </c>
      <c r="H792" t="s">
        <v>30</v>
      </c>
      <c r="I792">
        <v>40</v>
      </c>
      <c r="J792">
        <v>20</v>
      </c>
      <c r="L792">
        <v>80</v>
      </c>
      <c r="M792">
        <v>2.8</v>
      </c>
      <c r="O792">
        <v>4</v>
      </c>
      <c r="T792">
        <v>3</v>
      </c>
      <c r="U792">
        <v>23</v>
      </c>
      <c r="V792">
        <v>48</v>
      </c>
      <c r="W792">
        <v>2847</v>
      </c>
      <c r="X792">
        <v>20</v>
      </c>
      <c r="Y792" t="s">
        <v>907</v>
      </c>
    </row>
    <row r="793" spans="1:25">
      <c r="A793" t="s">
        <v>1558</v>
      </c>
      <c r="B793" s="2" t="str">
        <f>Hyperlink("https://www.diodes.com/datasheet/download/DMNH4005SPSWQ.pdf")</f>
        <v>https://www.diodes.com/datasheet/download/DMNH4005SPSWQ.pdf</v>
      </c>
      <c r="C793" t="str">
        <f>Hyperlink("https://www.diodes.com/part/view/DMNH4005SPSWQ","DMNH4005SPSWQ")</f>
        <v>DMNH4005SPSWQ</v>
      </c>
      <c r="D793" t="s">
        <v>1559</v>
      </c>
      <c r="E793" t="s">
        <v>27</v>
      </c>
      <c r="F793" t="s">
        <v>37</v>
      </c>
      <c r="G793" t="s">
        <v>29</v>
      </c>
      <c r="H793" t="s">
        <v>30</v>
      </c>
      <c r="I793">
        <v>40</v>
      </c>
      <c r="J793">
        <v>20</v>
      </c>
      <c r="L793">
        <v>80</v>
      </c>
      <c r="M793">
        <v>2.8</v>
      </c>
      <c r="O793">
        <v>4</v>
      </c>
      <c r="S793">
        <v>1</v>
      </c>
      <c r="T793">
        <v>3</v>
      </c>
      <c r="U793">
        <v>23</v>
      </c>
      <c r="V793">
        <v>48</v>
      </c>
      <c r="W793">
        <v>2847</v>
      </c>
      <c r="X793">
        <v>20</v>
      </c>
      <c r="Y793" t="s">
        <v>1546</v>
      </c>
    </row>
    <row r="794" spans="1:25">
      <c r="A794" t="s">
        <v>1560</v>
      </c>
      <c r="B794" s="2" t="str">
        <f>Hyperlink("https://www.diodes.com/datasheet/download/DMNH4006SK3.pdf")</f>
        <v>https://www.diodes.com/datasheet/download/DMNH4006SK3.pdf</v>
      </c>
      <c r="C794" t="str">
        <f>Hyperlink("https://www.diodes.com/part/view/DMNH4006SK3","DMNH4006SK3")</f>
        <v>DMNH4006SK3</v>
      </c>
      <c r="D794" t="s">
        <v>1555</v>
      </c>
      <c r="E794" t="s">
        <v>27</v>
      </c>
      <c r="F794" t="s">
        <v>28</v>
      </c>
      <c r="G794" t="s">
        <v>29</v>
      </c>
      <c r="H794" t="s">
        <v>30</v>
      </c>
      <c r="I794">
        <v>40</v>
      </c>
      <c r="J794">
        <v>20</v>
      </c>
      <c r="K794">
        <v>20</v>
      </c>
      <c r="M794">
        <v>3.6</v>
      </c>
      <c r="O794">
        <v>6</v>
      </c>
      <c r="T794">
        <v>4</v>
      </c>
      <c r="V794">
        <v>51</v>
      </c>
      <c r="W794">
        <v>2280</v>
      </c>
      <c r="X794">
        <v>25</v>
      </c>
      <c r="Y794" t="s">
        <v>681</v>
      </c>
    </row>
    <row r="795" spans="1:25">
      <c r="A795" t="s">
        <v>1561</v>
      </c>
      <c r="B795" s="2" t="str">
        <f>Hyperlink("https://www.diodes.com/datasheet/download/DMNH4006SK3Q.pdf")</f>
        <v>https://www.diodes.com/datasheet/download/DMNH4006SK3Q.pdf</v>
      </c>
      <c r="C795" t="str">
        <f>Hyperlink("https://www.diodes.com/part/view/DMNH4006SK3Q","DMNH4006SK3Q")</f>
        <v>DMNH4006SK3Q</v>
      </c>
      <c r="D795" t="s">
        <v>1555</v>
      </c>
      <c r="E795" t="s">
        <v>27</v>
      </c>
      <c r="F795" t="s">
        <v>37</v>
      </c>
      <c r="G795" t="s">
        <v>29</v>
      </c>
      <c r="H795" t="s">
        <v>30</v>
      </c>
      <c r="I795">
        <v>40</v>
      </c>
      <c r="J795">
        <v>20</v>
      </c>
      <c r="K795">
        <v>20</v>
      </c>
      <c r="L795">
        <v>140</v>
      </c>
      <c r="M795">
        <v>3.6</v>
      </c>
      <c r="O795">
        <v>6</v>
      </c>
      <c r="T795">
        <v>4</v>
      </c>
      <c r="V795">
        <v>51</v>
      </c>
      <c r="W795">
        <v>2280</v>
      </c>
      <c r="X795">
        <v>25</v>
      </c>
      <c r="Y795" t="s">
        <v>681</v>
      </c>
    </row>
    <row r="796" spans="1:25">
      <c r="A796" t="s">
        <v>1562</v>
      </c>
      <c r="B796" s="2" t="str">
        <f>Hyperlink("https://www.diodes.com/datasheet/download/DMNH4006SPS.pdf")</f>
        <v>https://www.diodes.com/datasheet/download/DMNH4006SPS.pdf</v>
      </c>
      <c r="C796" t="str">
        <f>Hyperlink("https://www.diodes.com/part/view/DMNH4006SPS","DMNH4006SPS")</f>
        <v>DMNH4006SPS</v>
      </c>
      <c r="D796" t="s">
        <v>1552</v>
      </c>
      <c r="E796" t="s">
        <v>30</v>
      </c>
      <c r="F796" t="s">
        <v>28</v>
      </c>
      <c r="G796" t="s">
        <v>29</v>
      </c>
      <c r="H796" t="s">
        <v>30</v>
      </c>
      <c r="I796">
        <v>40</v>
      </c>
      <c r="J796">
        <v>20</v>
      </c>
      <c r="L796">
        <v>110</v>
      </c>
      <c r="M796">
        <v>3</v>
      </c>
      <c r="O796">
        <v>7</v>
      </c>
      <c r="T796">
        <v>4</v>
      </c>
      <c r="V796">
        <v>50.9</v>
      </c>
      <c r="W796">
        <v>2280</v>
      </c>
      <c r="X796">
        <v>25</v>
      </c>
      <c r="Y796" t="s">
        <v>907</v>
      </c>
    </row>
    <row r="797" spans="1:25">
      <c r="A797" t="s">
        <v>1563</v>
      </c>
      <c r="B797" s="2" t="str">
        <f>Hyperlink("https://www.diodes.com/datasheet/download/DMNH4006SPSQ.pdf")</f>
        <v>https://www.diodes.com/datasheet/download/DMNH4006SPSQ.pdf</v>
      </c>
      <c r="C797" t="str">
        <f>Hyperlink("https://www.diodes.com/part/view/DMNH4006SPSQ","DMNH4006SPSQ")</f>
        <v>DMNH4006SPSQ</v>
      </c>
      <c r="D797" t="s">
        <v>1555</v>
      </c>
      <c r="E797" t="s">
        <v>27</v>
      </c>
      <c r="F797" t="s">
        <v>37</v>
      </c>
      <c r="G797" t="s">
        <v>29</v>
      </c>
      <c r="H797" t="s">
        <v>30</v>
      </c>
      <c r="I797">
        <v>40</v>
      </c>
      <c r="J797">
        <v>20</v>
      </c>
      <c r="L797">
        <v>110</v>
      </c>
      <c r="M797">
        <v>3</v>
      </c>
      <c r="O797">
        <v>7</v>
      </c>
      <c r="T797">
        <v>4</v>
      </c>
      <c r="V797">
        <v>50.9</v>
      </c>
      <c r="W797">
        <v>2280</v>
      </c>
      <c r="X797">
        <v>25</v>
      </c>
      <c r="Y797" t="s">
        <v>907</v>
      </c>
    </row>
    <row r="798" spans="1:25">
      <c r="A798" t="s">
        <v>1564</v>
      </c>
      <c r="B798" s="2" t="str">
        <f>Hyperlink("https://www.diodes.com/datasheet/download/DMNH4006SPSWQ.pdf")</f>
        <v>https://www.diodes.com/datasheet/download/DMNH4006SPSWQ.pdf</v>
      </c>
      <c r="C798" t="str">
        <f>Hyperlink("https://www.diodes.com/part/view/DMNH4006SPSWQ","DMNH4006SPSWQ")</f>
        <v>DMNH4006SPSWQ</v>
      </c>
      <c r="D798" t="s">
        <v>1559</v>
      </c>
      <c r="E798" t="s">
        <v>27</v>
      </c>
      <c r="F798" t="s">
        <v>37</v>
      </c>
      <c r="G798" t="s">
        <v>29</v>
      </c>
      <c r="H798" t="s">
        <v>30</v>
      </c>
      <c r="I798">
        <v>40</v>
      </c>
      <c r="J798">
        <v>20</v>
      </c>
      <c r="L798">
        <v>110</v>
      </c>
      <c r="M798">
        <v>3</v>
      </c>
      <c r="O798">
        <v>7</v>
      </c>
      <c r="S798">
        <v>2</v>
      </c>
      <c r="T798">
        <v>4</v>
      </c>
      <c r="V798">
        <v>50.9</v>
      </c>
      <c r="W798">
        <v>2280</v>
      </c>
      <c r="X798">
        <v>25</v>
      </c>
      <c r="Y798" t="s">
        <v>1546</v>
      </c>
    </row>
    <row r="799" spans="1:25">
      <c r="A799" t="s">
        <v>1565</v>
      </c>
      <c r="B799" s="2" t="str">
        <f>Hyperlink("https://www.diodes.com/datasheet/download/DMNH4011SK3Q.pdf")</f>
        <v>https://www.diodes.com/datasheet/download/DMNH4011SK3Q.pdf</v>
      </c>
      <c r="C799" t="str">
        <f>Hyperlink("https://www.diodes.com/part/view/DMNH4011SK3Q","DMNH4011SK3Q")</f>
        <v>DMNH4011SK3Q</v>
      </c>
      <c r="D799" t="s">
        <v>1555</v>
      </c>
      <c r="E799" t="s">
        <v>27</v>
      </c>
      <c r="F799" t="s">
        <v>37</v>
      </c>
      <c r="G799" t="s">
        <v>29</v>
      </c>
      <c r="H799" t="s">
        <v>30</v>
      </c>
      <c r="I799">
        <v>40</v>
      </c>
      <c r="J799">
        <v>20</v>
      </c>
      <c r="L799">
        <v>50</v>
      </c>
      <c r="M799">
        <v>2.6</v>
      </c>
      <c r="N799">
        <v>50</v>
      </c>
      <c r="O799">
        <v>10</v>
      </c>
      <c r="T799">
        <v>4</v>
      </c>
      <c r="V799">
        <v>25.5</v>
      </c>
      <c r="W799">
        <v>1405</v>
      </c>
      <c r="X799">
        <v>20</v>
      </c>
      <c r="Y799" t="s">
        <v>681</v>
      </c>
    </row>
    <row r="800" spans="1:25">
      <c r="A800" t="s">
        <v>1566</v>
      </c>
      <c r="B800" s="2" t="str">
        <f>Hyperlink("https://www.diodes.com/datasheet/download/DMNH4011SPS.pdf")</f>
        <v>https://www.diodes.com/datasheet/download/DMNH4011SPS.pdf</v>
      </c>
      <c r="C800" t="str">
        <f>Hyperlink("https://www.diodes.com/part/view/DMNH4011SPS","DMNH4011SPS")</f>
        <v>DMNH4011SPS</v>
      </c>
      <c r="D800" t="s">
        <v>1555</v>
      </c>
      <c r="E800" t="s">
        <v>27</v>
      </c>
      <c r="F800" t="s">
        <v>28</v>
      </c>
      <c r="G800" t="s">
        <v>29</v>
      </c>
      <c r="H800" t="s">
        <v>30</v>
      </c>
      <c r="I800">
        <v>40</v>
      </c>
      <c r="J800">
        <v>20</v>
      </c>
      <c r="K800">
        <v>13</v>
      </c>
      <c r="L800">
        <v>80</v>
      </c>
      <c r="M800">
        <v>2.5</v>
      </c>
      <c r="N800">
        <v>100</v>
      </c>
      <c r="O800">
        <v>10</v>
      </c>
      <c r="T800">
        <v>4</v>
      </c>
      <c r="V800">
        <v>25.5</v>
      </c>
      <c r="W800">
        <v>1405</v>
      </c>
      <c r="X800">
        <v>20</v>
      </c>
      <c r="Y800" t="s">
        <v>907</v>
      </c>
    </row>
    <row r="801" spans="1:25">
      <c r="A801" t="s">
        <v>1567</v>
      </c>
      <c r="B801" s="2" t="str">
        <f>Hyperlink("https://www.diodes.com/datasheet/download/DMNH4011SPSQ.pdf")</f>
        <v>https://www.diodes.com/datasheet/download/DMNH4011SPSQ.pdf</v>
      </c>
      <c r="C801" t="str">
        <f>Hyperlink("https://www.diodes.com/part/view/DMNH4011SPSQ","DMNH4011SPSQ")</f>
        <v>DMNH4011SPSQ</v>
      </c>
      <c r="D801" t="s">
        <v>1555</v>
      </c>
      <c r="E801" t="s">
        <v>27</v>
      </c>
      <c r="F801" t="s">
        <v>37</v>
      </c>
      <c r="G801" t="s">
        <v>29</v>
      </c>
      <c r="H801" t="s">
        <v>30</v>
      </c>
      <c r="I801">
        <v>40</v>
      </c>
      <c r="J801">
        <v>20</v>
      </c>
      <c r="K801">
        <v>13</v>
      </c>
      <c r="L801">
        <v>100</v>
      </c>
      <c r="M801">
        <v>2.5</v>
      </c>
      <c r="N801">
        <v>150</v>
      </c>
      <c r="O801">
        <v>10</v>
      </c>
      <c r="T801">
        <v>4</v>
      </c>
      <c r="V801">
        <v>25.5</v>
      </c>
      <c r="W801">
        <v>1405</v>
      </c>
      <c r="X801">
        <v>20</v>
      </c>
      <c r="Y801" t="s">
        <v>907</v>
      </c>
    </row>
    <row r="802" spans="1:25">
      <c r="A802" t="s">
        <v>1568</v>
      </c>
      <c r="B802" s="2" t="str">
        <f>Hyperlink("https://www.diodes.com/datasheet/download/DMNH4011SPSWQ.pdf")</f>
        <v>https://www.diodes.com/datasheet/download/DMNH4011SPSWQ.pdf</v>
      </c>
      <c r="C802" t="str">
        <f>Hyperlink("https://www.diodes.com/part/view/DMNH4011SPSWQ","DMNH4011SPSWQ")</f>
        <v>DMNH4011SPSWQ</v>
      </c>
      <c r="D802" t="s">
        <v>1569</v>
      </c>
      <c r="E802" t="s">
        <v>27</v>
      </c>
      <c r="F802" t="s">
        <v>37</v>
      </c>
      <c r="G802" t="s">
        <v>29</v>
      </c>
      <c r="H802" t="s">
        <v>30</v>
      </c>
      <c r="I802">
        <v>40</v>
      </c>
      <c r="J802">
        <v>20</v>
      </c>
      <c r="K802">
        <v>13</v>
      </c>
      <c r="L802">
        <v>80</v>
      </c>
      <c r="M802">
        <v>2.5</v>
      </c>
      <c r="N802">
        <v>150</v>
      </c>
      <c r="O802">
        <v>10</v>
      </c>
      <c r="S802">
        <v>2</v>
      </c>
      <c r="T802">
        <v>4</v>
      </c>
      <c r="V802">
        <v>25.5</v>
      </c>
      <c r="W802">
        <v>1405</v>
      </c>
      <c r="X802">
        <v>20</v>
      </c>
      <c r="Y802" t="s">
        <v>1546</v>
      </c>
    </row>
    <row r="803" spans="1:25">
      <c r="A803" t="s">
        <v>1570</v>
      </c>
      <c r="B803" s="2" t="str">
        <f>Hyperlink("https://www.diodes.com/datasheet/download/DMNH4015SSD.pdf")</f>
        <v>https://www.diodes.com/datasheet/download/DMNH4015SSD.pdf</v>
      </c>
      <c r="C803" t="str">
        <f>Hyperlink("https://www.diodes.com/part/view/DMNH4015SSD","DMNH4015SSD")</f>
        <v>DMNH4015SSD</v>
      </c>
      <c r="D803" t="s">
        <v>1322</v>
      </c>
      <c r="E803" t="s">
        <v>27</v>
      </c>
      <c r="F803" t="s">
        <v>28</v>
      </c>
      <c r="G803" t="s">
        <v>40</v>
      </c>
      <c r="H803" t="s">
        <v>30</v>
      </c>
      <c r="I803">
        <v>40</v>
      </c>
      <c r="J803">
        <v>20</v>
      </c>
      <c r="K803">
        <v>8.6</v>
      </c>
      <c r="M803">
        <v>2</v>
      </c>
      <c r="O803">
        <v>15</v>
      </c>
      <c r="P803">
        <v>20</v>
      </c>
      <c r="T803">
        <v>3</v>
      </c>
      <c r="U803">
        <v>15</v>
      </c>
      <c r="V803">
        <v>33</v>
      </c>
      <c r="W803">
        <v>1938</v>
      </c>
      <c r="X803">
        <v>15</v>
      </c>
      <c r="Y803" t="s">
        <v>213</v>
      </c>
    </row>
    <row r="804" spans="1:25">
      <c r="A804" t="s">
        <v>1571</v>
      </c>
      <c r="B804" s="2" t="str">
        <f>Hyperlink("https://www.diodes.com/datasheet/download/DMNH4015SSDQ.pdf")</f>
        <v>https://www.diodes.com/datasheet/download/DMNH4015SSDQ.pdf</v>
      </c>
      <c r="C804" t="str">
        <f>Hyperlink("https://www.diodes.com/part/view/DMNH4015SSDQ","DMNH4015SSDQ")</f>
        <v>DMNH4015SSDQ</v>
      </c>
      <c r="D804" t="s">
        <v>1572</v>
      </c>
      <c r="E804" t="s">
        <v>27</v>
      </c>
      <c r="F804" t="s">
        <v>37</v>
      </c>
      <c r="G804" t="s">
        <v>40</v>
      </c>
      <c r="H804" t="s">
        <v>30</v>
      </c>
      <c r="I804">
        <v>40</v>
      </c>
      <c r="J804">
        <v>20</v>
      </c>
      <c r="K804">
        <v>8.6</v>
      </c>
      <c r="M804">
        <v>2</v>
      </c>
      <c r="O804">
        <v>15</v>
      </c>
      <c r="P804">
        <v>20</v>
      </c>
      <c r="T804">
        <v>3</v>
      </c>
      <c r="U804">
        <v>15</v>
      </c>
      <c r="V804">
        <v>33</v>
      </c>
      <c r="W804">
        <v>1938</v>
      </c>
      <c r="X804">
        <v>15</v>
      </c>
      <c r="Y804" t="s">
        <v>213</v>
      </c>
    </row>
    <row r="805" spans="1:25">
      <c r="A805" t="s">
        <v>1573</v>
      </c>
      <c r="B805" s="2" t="str">
        <f>Hyperlink("https://www.diodes.com/datasheet/download/DMNH4026SSD.pdf")</f>
        <v>https://www.diodes.com/datasheet/download/DMNH4026SSD.pdf</v>
      </c>
      <c r="C805" t="str">
        <f>Hyperlink("https://www.diodes.com/part/view/DMNH4026SSD","DMNH4026SSD")</f>
        <v>DMNH4026SSD</v>
      </c>
      <c r="D805" t="s">
        <v>1322</v>
      </c>
      <c r="E805" t="s">
        <v>27</v>
      </c>
      <c r="F805" t="s">
        <v>28</v>
      </c>
      <c r="G805" t="s">
        <v>40</v>
      </c>
      <c r="H805" t="s">
        <v>30</v>
      </c>
      <c r="I805">
        <v>40</v>
      </c>
      <c r="J805">
        <v>20</v>
      </c>
      <c r="K805">
        <v>7.5</v>
      </c>
      <c r="M805">
        <v>2</v>
      </c>
      <c r="O805">
        <v>24</v>
      </c>
      <c r="P805">
        <v>32</v>
      </c>
      <c r="T805">
        <v>3</v>
      </c>
      <c r="U805">
        <v>8.8</v>
      </c>
      <c r="V805">
        <v>19.1</v>
      </c>
      <c r="W805">
        <v>1060</v>
      </c>
      <c r="X805">
        <v>20</v>
      </c>
      <c r="Y805" t="s">
        <v>213</v>
      </c>
    </row>
    <row r="806" spans="1:25">
      <c r="A806" t="s">
        <v>1574</v>
      </c>
      <c r="B806" s="2" t="str">
        <f>Hyperlink("https://www.diodes.com/datasheet/download/DMNH4026SSDQ.pdf")</f>
        <v>https://www.diodes.com/datasheet/download/DMNH4026SSDQ.pdf</v>
      </c>
      <c r="C806" t="str">
        <f>Hyperlink("https://www.diodes.com/part/view/DMNH4026SSDQ","DMNH4026SSDQ")</f>
        <v>DMNH4026SSDQ</v>
      </c>
      <c r="D806" t="s">
        <v>1572</v>
      </c>
      <c r="E806" t="s">
        <v>27</v>
      </c>
      <c r="F806" t="s">
        <v>37</v>
      </c>
      <c r="G806" t="s">
        <v>40</v>
      </c>
      <c r="H806" t="s">
        <v>30</v>
      </c>
      <c r="I806">
        <v>40</v>
      </c>
      <c r="J806">
        <v>20</v>
      </c>
      <c r="K806">
        <v>7.5</v>
      </c>
      <c r="M806">
        <v>2</v>
      </c>
      <c r="O806">
        <v>24</v>
      </c>
      <c r="P806">
        <v>32</v>
      </c>
      <c r="T806">
        <v>3</v>
      </c>
      <c r="U806">
        <v>8.8</v>
      </c>
      <c r="V806">
        <v>19.1</v>
      </c>
      <c r="W806">
        <v>1060</v>
      </c>
      <c r="X806">
        <v>20</v>
      </c>
      <c r="Y806" t="s">
        <v>213</v>
      </c>
    </row>
    <row r="807" spans="1:25">
      <c r="A807" t="s">
        <v>1575</v>
      </c>
      <c r="B807" s="2" t="str">
        <f>Hyperlink("https://www.diodes.com/datasheet/download/DMNH45M7SCT.pdf")</f>
        <v>https://www.diodes.com/datasheet/download/DMNH45M7SCT.pdf</v>
      </c>
      <c r="C807" t="str">
        <f>Hyperlink("https://www.diodes.com/part/view/DMNH45M7SCT","DMNH45M7SCT")</f>
        <v>DMNH45M7SCT</v>
      </c>
      <c r="D807" t="s">
        <v>1555</v>
      </c>
      <c r="E807" t="s">
        <v>30</v>
      </c>
      <c r="F807" t="s">
        <v>28</v>
      </c>
      <c r="G807" t="s">
        <v>29</v>
      </c>
      <c r="H807" t="s">
        <v>30</v>
      </c>
      <c r="I807">
        <v>40</v>
      </c>
      <c r="J807">
        <v>20</v>
      </c>
      <c r="L807">
        <v>220</v>
      </c>
      <c r="N807">
        <v>240</v>
      </c>
      <c r="O807">
        <v>6</v>
      </c>
      <c r="T807">
        <v>3</v>
      </c>
      <c r="U807">
        <v>31.6</v>
      </c>
      <c r="V807">
        <v>64.7</v>
      </c>
      <c r="W807">
        <v>4043</v>
      </c>
      <c r="X807">
        <v>20</v>
      </c>
      <c r="Y807" t="s">
        <v>1576</v>
      </c>
    </row>
    <row r="808" spans="1:25">
      <c r="A808" t="s">
        <v>1577</v>
      </c>
      <c r="B808" s="2" t="str">
        <f>Hyperlink("https://www.diodes.com/datasheet/download/DMNH6008SCT.pdf")</f>
        <v>https://www.diodes.com/datasheet/download/DMNH6008SCT.pdf</v>
      </c>
      <c r="C808" t="str">
        <f>Hyperlink("https://www.diodes.com/part/view/DMNH6008SCT","DMNH6008SCT")</f>
        <v>DMNH6008SCT</v>
      </c>
      <c r="D808" t="s">
        <v>1578</v>
      </c>
      <c r="E808" t="s">
        <v>27</v>
      </c>
      <c r="F808" t="s">
        <v>28</v>
      </c>
      <c r="G808" t="s">
        <v>29</v>
      </c>
      <c r="H808" t="s">
        <v>30</v>
      </c>
      <c r="I808">
        <v>60</v>
      </c>
      <c r="J808">
        <v>20</v>
      </c>
      <c r="L808">
        <v>130</v>
      </c>
      <c r="N808">
        <v>210</v>
      </c>
      <c r="O808">
        <v>8</v>
      </c>
      <c r="T808">
        <v>4</v>
      </c>
      <c r="U808">
        <v>21</v>
      </c>
      <c r="V808">
        <v>40</v>
      </c>
      <c r="W808">
        <v>2596</v>
      </c>
      <c r="X808">
        <v>30</v>
      </c>
      <c r="Y808" t="s">
        <v>1535</v>
      </c>
    </row>
    <row r="809" spans="1:25">
      <c r="A809" t="s">
        <v>1579</v>
      </c>
      <c r="B809" s="2" t="str">
        <f>Hyperlink("https://www.diodes.com/datasheet/download/DMNH6008SCTQ.pdf")</f>
        <v>https://www.diodes.com/datasheet/download/DMNH6008SCTQ.pdf</v>
      </c>
      <c r="C809" t="str">
        <f>Hyperlink("https://www.diodes.com/part/view/DMNH6008SCTQ","DMNH6008SCTQ")</f>
        <v>DMNH6008SCTQ</v>
      </c>
      <c r="D809" t="s">
        <v>1580</v>
      </c>
      <c r="E809" t="s">
        <v>27</v>
      </c>
      <c r="F809" t="s">
        <v>37</v>
      </c>
      <c r="G809" t="s">
        <v>29</v>
      </c>
      <c r="H809" t="s">
        <v>30</v>
      </c>
      <c r="I809">
        <v>60</v>
      </c>
      <c r="J809">
        <v>20</v>
      </c>
      <c r="L809">
        <v>130</v>
      </c>
      <c r="N809">
        <v>210</v>
      </c>
      <c r="O809">
        <v>8</v>
      </c>
      <c r="T809">
        <v>4</v>
      </c>
      <c r="U809">
        <v>21</v>
      </c>
      <c r="V809">
        <v>40</v>
      </c>
      <c r="W809">
        <v>2596</v>
      </c>
      <c r="X809">
        <v>30</v>
      </c>
      <c r="Y809" t="s">
        <v>1535</v>
      </c>
    </row>
    <row r="810" spans="1:25">
      <c r="A810" t="s">
        <v>1581</v>
      </c>
      <c r="B810" s="2" t="str">
        <f>Hyperlink("https://www.diodes.com/datasheet/download/DMNH6008SPS.pdf")</f>
        <v>https://www.diodes.com/datasheet/download/DMNH6008SPS.pdf</v>
      </c>
      <c r="C810" t="str">
        <f>Hyperlink("https://www.diodes.com/part/view/DMNH6008SPS","DMNH6008SPS")</f>
        <v>DMNH6008SPS</v>
      </c>
      <c r="D810" t="s">
        <v>1580</v>
      </c>
      <c r="E810" t="s">
        <v>27</v>
      </c>
      <c r="F810" t="s">
        <v>28</v>
      </c>
      <c r="G810" t="s">
        <v>29</v>
      </c>
      <c r="H810" t="s">
        <v>30</v>
      </c>
      <c r="I810">
        <v>60</v>
      </c>
      <c r="J810">
        <v>20</v>
      </c>
      <c r="K810">
        <v>16.5</v>
      </c>
      <c r="L810">
        <v>88</v>
      </c>
      <c r="M810">
        <v>3.3</v>
      </c>
      <c r="O810">
        <v>8</v>
      </c>
      <c r="T810">
        <v>4</v>
      </c>
      <c r="U810">
        <v>21.2</v>
      </c>
      <c r="V810">
        <v>40.1</v>
      </c>
      <c r="W810">
        <v>2594</v>
      </c>
      <c r="X810">
        <v>30</v>
      </c>
      <c r="Y810" t="s">
        <v>907</v>
      </c>
    </row>
    <row r="811" spans="1:25">
      <c r="A811" t="s">
        <v>1582</v>
      </c>
      <c r="B811" s="2" t="str">
        <f>Hyperlink("https://www.diodes.com/datasheet/download/DMNH6008SPSQ.pdf")</f>
        <v>https://www.diodes.com/datasheet/download/DMNH6008SPSQ.pdf</v>
      </c>
      <c r="C811" t="str">
        <f>Hyperlink("https://www.diodes.com/part/view/DMNH6008SPSQ","DMNH6008SPSQ")</f>
        <v>DMNH6008SPSQ</v>
      </c>
      <c r="D811" t="s">
        <v>1578</v>
      </c>
      <c r="E811" t="s">
        <v>27</v>
      </c>
      <c r="F811" t="s">
        <v>37</v>
      </c>
      <c r="G811" t="s">
        <v>29</v>
      </c>
      <c r="H811" t="s">
        <v>30</v>
      </c>
      <c r="I811">
        <v>60</v>
      </c>
      <c r="J811">
        <v>20</v>
      </c>
      <c r="K811">
        <v>16.5</v>
      </c>
      <c r="L811">
        <v>88</v>
      </c>
      <c r="M811">
        <v>3.3</v>
      </c>
      <c r="O811">
        <v>8</v>
      </c>
      <c r="T811">
        <v>4</v>
      </c>
      <c r="U811">
        <v>21.2</v>
      </c>
      <c r="V811">
        <v>40.1</v>
      </c>
      <c r="W811">
        <v>2597</v>
      </c>
      <c r="X811">
        <v>30</v>
      </c>
      <c r="Y811" t="s">
        <v>907</v>
      </c>
    </row>
    <row r="812" spans="1:25">
      <c r="A812" t="s">
        <v>1583</v>
      </c>
      <c r="B812" s="2" t="str">
        <f>Hyperlink("https://www.diodes.com/datasheet/download/DMNH6008SPSW.pdf")</f>
        <v>https://www.diodes.com/datasheet/download/DMNH6008SPSW.pdf</v>
      </c>
      <c r="C812" t="str">
        <f>Hyperlink("https://www.diodes.com/part/view/DMNH6008SPSW","DMNH6008SPSW")</f>
        <v>DMNH6008SPSW</v>
      </c>
      <c r="D812" t="s">
        <v>1584</v>
      </c>
      <c r="E812" t="s">
        <v>27</v>
      </c>
      <c r="F812" t="s">
        <v>28</v>
      </c>
      <c r="G812" t="s">
        <v>29</v>
      </c>
      <c r="H812" t="s">
        <v>30</v>
      </c>
      <c r="I812">
        <v>60</v>
      </c>
      <c r="J812">
        <v>20</v>
      </c>
      <c r="L812">
        <v>16.5</v>
      </c>
      <c r="M812">
        <v>3.3</v>
      </c>
      <c r="O812">
        <v>8</v>
      </c>
      <c r="S812">
        <v>2</v>
      </c>
      <c r="T812">
        <v>4</v>
      </c>
      <c r="U812">
        <v>21.2</v>
      </c>
      <c r="V812">
        <v>40.1</v>
      </c>
      <c r="W812">
        <v>2597</v>
      </c>
      <c r="X812">
        <v>30</v>
      </c>
      <c r="Y812" t="s">
        <v>1546</v>
      </c>
    </row>
    <row r="813" spans="1:25">
      <c r="A813" t="s">
        <v>1585</v>
      </c>
      <c r="B813" s="2" t="str">
        <f>Hyperlink("https://www.diodes.com/datasheet/download/DMNH6008SPSWQ.pdf")</f>
        <v>https://www.diodes.com/datasheet/download/DMNH6008SPSWQ.pdf</v>
      </c>
      <c r="C813" t="str">
        <f>Hyperlink("https://www.diodes.com/part/view/DMNH6008SPSWQ","DMNH6008SPSWQ")</f>
        <v>DMNH6008SPSWQ</v>
      </c>
      <c r="D813" t="s">
        <v>1586</v>
      </c>
      <c r="E813" t="s">
        <v>27</v>
      </c>
      <c r="F813" t="s">
        <v>37</v>
      </c>
      <c r="G813" t="s">
        <v>29</v>
      </c>
      <c r="H813" t="s">
        <v>30</v>
      </c>
      <c r="I813">
        <v>60</v>
      </c>
      <c r="J813">
        <v>20</v>
      </c>
      <c r="K813">
        <v>16.5</v>
      </c>
      <c r="L813">
        <v>88</v>
      </c>
      <c r="M813">
        <v>3.3</v>
      </c>
      <c r="O813">
        <v>8</v>
      </c>
      <c r="S813">
        <v>2</v>
      </c>
      <c r="T813">
        <v>4</v>
      </c>
      <c r="U813">
        <v>21.2</v>
      </c>
      <c r="V813">
        <v>40.1</v>
      </c>
      <c r="W813">
        <v>2597</v>
      </c>
      <c r="X813">
        <v>30</v>
      </c>
      <c r="Y813" t="s">
        <v>1546</v>
      </c>
    </row>
    <row r="814" spans="1:25">
      <c r="A814" t="s">
        <v>1587</v>
      </c>
      <c r="B814" s="2" t="str">
        <f>Hyperlink("https://www.diodes.com/datasheet/download/DMNH6009SPS.pdf")</f>
        <v>https://www.diodes.com/datasheet/download/DMNH6009SPS.pdf</v>
      </c>
      <c r="C814" t="str">
        <f>Hyperlink("https://www.diodes.com/part/view/DMNH6009SPS","DMNH6009SPS")</f>
        <v>DMNH6009SPS</v>
      </c>
      <c r="D814" t="s">
        <v>1580</v>
      </c>
      <c r="E814" t="s">
        <v>30</v>
      </c>
      <c r="F814" t="s">
        <v>28</v>
      </c>
      <c r="G814" t="s">
        <v>29</v>
      </c>
      <c r="H814" t="s">
        <v>30</v>
      </c>
      <c r="I814">
        <v>60</v>
      </c>
      <c r="J814">
        <v>20</v>
      </c>
      <c r="L814">
        <v>95</v>
      </c>
      <c r="M814">
        <v>3.3</v>
      </c>
      <c r="O814">
        <v>7.3</v>
      </c>
      <c r="P814">
        <v>15</v>
      </c>
      <c r="T814">
        <v>3</v>
      </c>
      <c r="U814">
        <v>18.5</v>
      </c>
      <c r="V814">
        <v>37.3</v>
      </c>
      <c r="W814">
        <v>1882</v>
      </c>
      <c r="X814">
        <v>30</v>
      </c>
      <c r="Y814" t="s">
        <v>907</v>
      </c>
    </row>
    <row r="815" spans="1:25">
      <c r="A815" t="s">
        <v>1588</v>
      </c>
      <c r="B815" s="2" t="str">
        <f>Hyperlink("https://www.diodes.com/datasheet/download/DMNH6009SPSW.pdf")</f>
        <v>https://www.diodes.com/datasheet/download/DMNH6009SPSW.pdf</v>
      </c>
      <c r="C815" t="str">
        <f>Hyperlink("https://www.diodes.com/part/view/DMNH6009SPSW","DMNH6009SPSW")</f>
        <v>DMNH6009SPSW</v>
      </c>
      <c r="D815" t="s">
        <v>1586</v>
      </c>
      <c r="E815" t="s">
        <v>27</v>
      </c>
      <c r="F815" t="s">
        <v>28</v>
      </c>
      <c r="G815" t="s">
        <v>29</v>
      </c>
      <c r="H815" t="s">
        <v>30</v>
      </c>
      <c r="I815">
        <v>60</v>
      </c>
      <c r="J815">
        <v>20</v>
      </c>
      <c r="L815">
        <v>95</v>
      </c>
      <c r="M815">
        <v>3.3</v>
      </c>
      <c r="O815">
        <v>7.3</v>
      </c>
      <c r="P815">
        <v>15</v>
      </c>
      <c r="S815">
        <v>1</v>
      </c>
      <c r="T815">
        <v>3</v>
      </c>
      <c r="U815">
        <v>18.5</v>
      </c>
      <c r="V815">
        <v>37.3</v>
      </c>
      <c r="W815">
        <v>1882</v>
      </c>
      <c r="X815">
        <v>30</v>
      </c>
      <c r="Y815" t="s">
        <v>1546</v>
      </c>
    </row>
    <row r="816" spans="1:25">
      <c r="A816" t="s">
        <v>1589</v>
      </c>
      <c r="B816" s="2" t="str">
        <f>Hyperlink("https://www.diodes.com/datasheet/download/DMNH6010SCTB.pdf")</f>
        <v>https://www.diodes.com/datasheet/download/DMNH6010SCTB.pdf</v>
      </c>
      <c r="C816" t="str">
        <f>Hyperlink("https://www.diodes.com/part/view/DMNH6010SCTB","DMNH6010SCTB")</f>
        <v>DMNH6010SCTB</v>
      </c>
      <c r="D816" t="s">
        <v>1580</v>
      </c>
      <c r="E816" t="s">
        <v>27</v>
      </c>
      <c r="F816" t="s">
        <v>28</v>
      </c>
      <c r="G816" t="s">
        <v>29</v>
      </c>
      <c r="H816" t="s">
        <v>30</v>
      </c>
      <c r="I816">
        <v>60</v>
      </c>
      <c r="J816">
        <v>20</v>
      </c>
      <c r="L816">
        <v>133</v>
      </c>
      <c r="N816">
        <v>375</v>
      </c>
      <c r="O816">
        <v>10</v>
      </c>
      <c r="S816">
        <v>2</v>
      </c>
      <c r="T816">
        <v>4</v>
      </c>
      <c r="V816">
        <v>46</v>
      </c>
      <c r="W816">
        <v>2692</v>
      </c>
      <c r="X816">
        <v>25</v>
      </c>
      <c r="Y816" t="s">
        <v>1385</v>
      </c>
    </row>
    <row r="817" spans="1:25">
      <c r="A817" t="s">
        <v>1590</v>
      </c>
      <c r="B817" s="2" t="str">
        <f>Hyperlink("https://www.diodes.com/datasheet/download/DMNH6010SCTBQ.pdf")</f>
        <v>https://www.diodes.com/datasheet/download/DMNH6010SCTBQ.pdf</v>
      </c>
      <c r="C817" t="str">
        <f>Hyperlink("https://www.diodes.com/part/view/DMNH6010SCTBQ","DMNH6010SCTBQ")</f>
        <v>DMNH6010SCTBQ</v>
      </c>
      <c r="D817" t="s">
        <v>1580</v>
      </c>
      <c r="E817" t="s">
        <v>27</v>
      </c>
      <c r="F817" t="s">
        <v>37</v>
      </c>
      <c r="G817" t="s">
        <v>29</v>
      </c>
      <c r="H817" t="s">
        <v>30</v>
      </c>
      <c r="I817">
        <v>60</v>
      </c>
      <c r="J817">
        <v>20</v>
      </c>
      <c r="L817">
        <v>133</v>
      </c>
      <c r="N817">
        <v>375</v>
      </c>
      <c r="O817">
        <v>10</v>
      </c>
      <c r="S817">
        <v>2</v>
      </c>
      <c r="T817">
        <v>4</v>
      </c>
      <c r="V817">
        <v>46</v>
      </c>
      <c r="W817">
        <v>2692</v>
      </c>
      <c r="X817">
        <v>25</v>
      </c>
      <c r="Y817" t="s">
        <v>1385</v>
      </c>
    </row>
    <row r="818" spans="1:25">
      <c r="A818" t="s">
        <v>1591</v>
      </c>
      <c r="B818" s="2" t="str">
        <f>Hyperlink("https://www.diodes.com/datasheet/download/DMNH6011LK3.pdf")</f>
        <v>https://www.diodes.com/datasheet/download/DMNH6011LK3.pdf</v>
      </c>
      <c r="C818" t="str">
        <f>Hyperlink("https://www.diodes.com/part/view/DMNH6011LK3","DMNH6011LK3")</f>
        <v>DMNH6011LK3</v>
      </c>
      <c r="D818" t="s">
        <v>26</v>
      </c>
      <c r="E818" t="s">
        <v>27</v>
      </c>
      <c r="F818" t="s">
        <v>28</v>
      </c>
      <c r="G818" t="s">
        <v>29</v>
      </c>
      <c r="H818" t="s">
        <v>30</v>
      </c>
      <c r="I818">
        <v>55</v>
      </c>
      <c r="J818">
        <v>12</v>
      </c>
      <c r="L818">
        <v>80</v>
      </c>
      <c r="M818">
        <v>3</v>
      </c>
      <c r="O818">
        <v>12</v>
      </c>
      <c r="P818">
        <v>18</v>
      </c>
      <c r="T818">
        <v>2</v>
      </c>
      <c r="U818">
        <v>23.4</v>
      </c>
      <c r="V818">
        <v>49.1</v>
      </c>
      <c r="W818">
        <v>2746</v>
      </c>
      <c r="X818">
        <v>30</v>
      </c>
      <c r="Y818" t="s">
        <v>681</v>
      </c>
    </row>
    <row r="819" spans="1:25">
      <c r="A819" t="s">
        <v>1592</v>
      </c>
      <c r="B819" s="2" t="str">
        <f>Hyperlink("https://www.diodes.com/datasheet/download/DMNH6011LK3Q.pdf")</f>
        <v>https://www.diodes.com/datasheet/download/DMNH6011LK3Q.pdf</v>
      </c>
      <c r="C819" t="str">
        <f>Hyperlink("https://www.diodes.com/part/view/DMNH6011LK3Q","DMNH6011LK3Q")</f>
        <v>DMNH6011LK3Q</v>
      </c>
      <c r="D819" t="s">
        <v>1593</v>
      </c>
      <c r="E819" t="s">
        <v>27</v>
      </c>
      <c r="F819" t="s">
        <v>37</v>
      </c>
      <c r="G819" t="s">
        <v>29</v>
      </c>
      <c r="H819" t="s">
        <v>30</v>
      </c>
      <c r="I819">
        <v>55</v>
      </c>
      <c r="J819">
        <v>12</v>
      </c>
      <c r="L819">
        <v>80</v>
      </c>
      <c r="M819">
        <v>3</v>
      </c>
      <c r="O819">
        <v>12</v>
      </c>
      <c r="P819">
        <v>18</v>
      </c>
      <c r="T819">
        <v>2</v>
      </c>
      <c r="U819">
        <v>23.4</v>
      </c>
      <c r="V819">
        <v>49.1</v>
      </c>
      <c r="W819">
        <v>2746</v>
      </c>
      <c r="X819">
        <v>30</v>
      </c>
      <c r="Y819" t="s">
        <v>681</v>
      </c>
    </row>
    <row r="820" spans="1:25">
      <c r="A820" t="s">
        <v>1594</v>
      </c>
      <c r="B820" s="2" t="str">
        <f>Hyperlink("https://www.diodes.com/datasheet/download/DMNH6012LK3.pdf")</f>
        <v>https://www.diodes.com/datasheet/download/DMNH6012LK3.pdf</v>
      </c>
      <c r="C820" t="str">
        <f>Hyperlink("https://www.diodes.com/part/view/DMNH6012LK3","DMNH6012LK3")</f>
        <v>DMNH6012LK3</v>
      </c>
      <c r="D820" t="s">
        <v>1578</v>
      </c>
      <c r="E820" t="s">
        <v>27</v>
      </c>
      <c r="F820" t="s">
        <v>28</v>
      </c>
      <c r="G820" t="s">
        <v>29</v>
      </c>
      <c r="H820" t="s">
        <v>30</v>
      </c>
      <c r="I820">
        <v>60</v>
      </c>
      <c r="J820">
        <v>20</v>
      </c>
      <c r="L820">
        <v>60</v>
      </c>
      <c r="M820">
        <v>3.8</v>
      </c>
      <c r="O820">
        <v>12</v>
      </c>
      <c r="P820">
        <v>18</v>
      </c>
      <c r="T820">
        <v>3</v>
      </c>
      <c r="U820">
        <v>16.3</v>
      </c>
      <c r="V820">
        <v>35.2</v>
      </c>
      <c r="W820">
        <v>1926</v>
      </c>
      <c r="X820">
        <v>30</v>
      </c>
      <c r="Y820" t="s">
        <v>681</v>
      </c>
    </row>
    <row r="821" spans="1:25">
      <c r="A821" t="s">
        <v>1595</v>
      </c>
      <c r="B821" s="2" t="str">
        <f>Hyperlink("https://www.diodes.com/datasheet/download/DMNH6012LK3Q.pdf")</f>
        <v>https://www.diodes.com/datasheet/download/DMNH6012LK3Q.pdf</v>
      </c>
      <c r="C821" t="str">
        <f>Hyperlink("https://www.diodes.com/part/view/DMNH6012LK3Q","DMNH6012LK3Q")</f>
        <v>DMNH6012LK3Q</v>
      </c>
      <c r="D821" t="s">
        <v>1580</v>
      </c>
      <c r="E821" t="s">
        <v>27</v>
      </c>
      <c r="F821" t="s">
        <v>37</v>
      </c>
      <c r="G821" t="s">
        <v>29</v>
      </c>
      <c r="H821" t="s">
        <v>30</v>
      </c>
      <c r="I821">
        <v>60</v>
      </c>
      <c r="J821">
        <v>20</v>
      </c>
      <c r="L821">
        <v>80</v>
      </c>
      <c r="M821">
        <v>3.8</v>
      </c>
      <c r="O821">
        <v>12</v>
      </c>
      <c r="P821">
        <v>18</v>
      </c>
      <c r="T821">
        <v>3</v>
      </c>
      <c r="U821">
        <v>16.3</v>
      </c>
      <c r="V821">
        <v>35.2</v>
      </c>
      <c r="W821">
        <v>1926</v>
      </c>
      <c r="X821">
        <v>30</v>
      </c>
      <c r="Y821" t="s">
        <v>681</v>
      </c>
    </row>
    <row r="822" spans="1:25">
      <c r="A822" t="s">
        <v>1596</v>
      </c>
      <c r="B822" s="2" t="str">
        <f>Hyperlink("https://www.diodes.com/datasheet/download/DMNH6012SPS.pdf")</f>
        <v>https://www.diodes.com/datasheet/download/DMNH6012SPS.pdf</v>
      </c>
      <c r="C822" t="str">
        <f>Hyperlink("https://www.diodes.com/part/view/DMNH6012SPS","DMNH6012SPS")</f>
        <v>DMNH6012SPS</v>
      </c>
      <c r="D822" t="s">
        <v>1580</v>
      </c>
      <c r="E822" t="s">
        <v>27</v>
      </c>
      <c r="F822" t="s">
        <v>28</v>
      </c>
      <c r="G822" t="s">
        <v>29</v>
      </c>
      <c r="H822" t="s">
        <v>30</v>
      </c>
      <c r="I822">
        <v>60</v>
      </c>
      <c r="J822">
        <v>20</v>
      </c>
      <c r="L822">
        <v>50</v>
      </c>
      <c r="M822">
        <v>3.1</v>
      </c>
      <c r="O822">
        <v>11</v>
      </c>
      <c r="T822">
        <v>4</v>
      </c>
      <c r="U822">
        <v>16.3</v>
      </c>
      <c r="V822">
        <v>35.2</v>
      </c>
      <c r="W822">
        <v>1926</v>
      </c>
      <c r="X822">
        <v>30</v>
      </c>
      <c r="Y822" t="s">
        <v>907</v>
      </c>
    </row>
    <row r="823" spans="1:25">
      <c r="A823" t="s">
        <v>1597</v>
      </c>
      <c r="B823" s="2" t="str">
        <f>Hyperlink("https://www.diodes.com/datasheet/download/DMNH6012SPSQ.pdf")</f>
        <v>https://www.diodes.com/datasheet/download/DMNH6012SPSQ.pdf</v>
      </c>
      <c r="C823" t="str">
        <f>Hyperlink("https://www.diodes.com/part/view/DMNH6012SPSQ","DMNH6012SPSQ")</f>
        <v>DMNH6012SPSQ</v>
      </c>
      <c r="D823" t="s">
        <v>1580</v>
      </c>
      <c r="E823" t="s">
        <v>27</v>
      </c>
      <c r="F823" t="s">
        <v>37</v>
      </c>
      <c r="G823" t="s">
        <v>29</v>
      </c>
      <c r="H823" t="s">
        <v>30</v>
      </c>
      <c r="I823">
        <v>60</v>
      </c>
      <c r="J823">
        <v>20</v>
      </c>
      <c r="L823">
        <v>50</v>
      </c>
      <c r="M823">
        <v>3.1</v>
      </c>
      <c r="O823">
        <v>11</v>
      </c>
      <c r="T823">
        <v>4</v>
      </c>
      <c r="U823">
        <v>16.3</v>
      </c>
      <c r="V823">
        <v>35.2</v>
      </c>
      <c r="W823">
        <v>1926</v>
      </c>
      <c r="X823">
        <v>30</v>
      </c>
      <c r="Y823" t="s">
        <v>907</v>
      </c>
    </row>
    <row r="824" spans="1:25">
      <c r="A824" t="s">
        <v>1598</v>
      </c>
      <c r="B824" s="2" t="str">
        <f>Hyperlink("https://www.diodes.com/datasheet/download/DMNH6012SPSW.pdf")</f>
        <v>https://www.diodes.com/datasheet/download/DMNH6012SPSW.pdf</v>
      </c>
      <c r="C824" t="str">
        <f>Hyperlink("https://www.diodes.com/part/view/DMNH6012SPSW","DMNH6012SPSW")</f>
        <v>DMNH6012SPSW</v>
      </c>
      <c r="D824" t="s">
        <v>1584</v>
      </c>
      <c r="E824" t="s">
        <v>30</v>
      </c>
      <c r="F824" t="s">
        <v>28</v>
      </c>
      <c r="G824" t="s">
        <v>29</v>
      </c>
      <c r="H824" t="s">
        <v>30</v>
      </c>
      <c r="I824">
        <v>60</v>
      </c>
      <c r="J824">
        <v>20</v>
      </c>
      <c r="L824">
        <v>50</v>
      </c>
      <c r="M824">
        <v>3.1</v>
      </c>
      <c r="O824">
        <v>11</v>
      </c>
      <c r="S824">
        <v>2</v>
      </c>
      <c r="T824">
        <v>4</v>
      </c>
      <c r="U824">
        <v>16.3</v>
      </c>
      <c r="V824">
        <v>35.2</v>
      </c>
      <c r="W824">
        <v>1926</v>
      </c>
      <c r="X824">
        <v>30</v>
      </c>
      <c r="Y824" t="s">
        <v>1546</v>
      </c>
    </row>
    <row r="825" spans="1:25">
      <c r="A825" t="s">
        <v>1599</v>
      </c>
      <c r="B825" s="2" t="str">
        <f>Hyperlink("https://www.diodes.com/datasheet/download/DMNH6012SPSWQ.pdf")</f>
        <v>https://www.diodes.com/datasheet/download/DMNH6012SPSWQ.pdf</v>
      </c>
      <c r="C825" t="str">
        <f>Hyperlink("https://www.diodes.com/part/view/DMNH6012SPSWQ","DMNH6012SPSWQ")</f>
        <v>DMNH6012SPSWQ</v>
      </c>
      <c r="D825" t="s">
        <v>1586</v>
      </c>
      <c r="E825" t="s">
        <v>27</v>
      </c>
      <c r="F825" t="s">
        <v>37</v>
      </c>
      <c r="G825" t="s">
        <v>29</v>
      </c>
      <c r="H825" t="s">
        <v>30</v>
      </c>
      <c r="I825">
        <v>60</v>
      </c>
      <c r="J825">
        <v>20</v>
      </c>
      <c r="L825">
        <v>50</v>
      </c>
      <c r="M825">
        <v>3.1</v>
      </c>
      <c r="O825">
        <v>11</v>
      </c>
      <c r="S825">
        <v>2</v>
      </c>
      <c r="T825">
        <v>4</v>
      </c>
      <c r="U825">
        <v>16.3</v>
      </c>
      <c r="V825">
        <v>35.2</v>
      </c>
      <c r="W825">
        <v>1926</v>
      </c>
      <c r="X825">
        <v>30</v>
      </c>
      <c r="Y825" t="s">
        <v>1546</v>
      </c>
    </row>
    <row r="826" spans="1:25">
      <c r="A826" t="s">
        <v>1600</v>
      </c>
      <c r="B826" s="2" t="str">
        <f>Hyperlink("https://www.diodes.com/datasheet/download/DMNH6021SK3.pdf")</f>
        <v>https://www.diodes.com/datasheet/download/DMNH6021SK3.pdf</v>
      </c>
      <c r="C826" t="str">
        <f>Hyperlink("https://www.diodes.com/part/view/DMNH6021SK3","DMNH6021SK3")</f>
        <v>DMNH6021SK3</v>
      </c>
      <c r="D826" t="s">
        <v>1580</v>
      </c>
      <c r="E826" t="s">
        <v>27</v>
      </c>
      <c r="F826" t="s">
        <v>28</v>
      </c>
      <c r="G826" t="s">
        <v>29</v>
      </c>
      <c r="H826" t="s">
        <v>30</v>
      </c>
      <c r="I826">
        <v>60</v>
      </c>
      <c r="J826">
        <v>20</v>
      </c>
      <c r="L826">
        <v>50</v>
      </c>
      <c r="M826">
        <v>3.7</v>
      </c>
      <c r="O826">
        <v>23</v>
      </c>
      <c r="P826">
        <v>28</v>
      </c>
      <c r="T826">
        <v>3</v>
      </c>
      <c r="U826">
        <v>12.1</v>
      </c>
      <c r="V826">
        <v>20.1</v>
      </c>
      <c r="W826">
        <v>1143</v>
      </c>
      <c r="X826">
        <v>25</v>
      </c>
      <c r="Y826" t="s">
        <v>681</v>
      </c>
    </row>
    <row r="827" spans="1:25">
      <c r="A827" t="s">
        <v>1601</v>
      </c>
      <c r="B827" s="2" t="str">
        <f>Hyperlink("https://www.diodes.com/datasheet/download/DMNH6021SK3Q.pdf")</f>
        <v>https://www.diodes.com/datasheet/download/DMNH6021SK3Q.pdf</v>
      </c>
      <c r="C827" t="str">
        <f>Hyperlink("https://www.diodes.com/part/view/DMNH6021SK3Q","DMNH6021SK3Q")</f>
        <v>DMNH6021SK3Q</v>
      </c>
      <c r="D827" t="s">
        <v>1580</v>
      </c>
      <c r="E827" t="s">
        <v>27</v>
      </c>
      <c r="F827" t="s">
        <v>37</v>
      </c>
      <c r="G827" t="s">
        <v>29</v>
      </c>
      <c r="H827" t="s">
        <v>30</v>
      </c>
      <c r="I827">
        <v>60</v>
      </c>
      <c r="J827">
        <v>20</v>
      </c>
      <c r="L827">
        <v>50</v>
      </c>
      <c r="M827">
        <v>3.7</v>
      </c>
      <c r="O827">
        <v>23</v>
      </c>
      <c r="P827">
        <v>28</v>
      </c>
      <c r="T827">
        <v>3</v>
      </c>
      <c r="U827">
        <v>12.1</v>
      </c>
      <c r="V827">
        <v>20.1</v>
      </c>
      <c r="W827">
        <v>1143</v>
      </c>
      <c r="X827">
        <v>25</v>
      </c>
      <c r="Y827" t="s">
        <v>681</v>
      </c>
    </row>
    <row r="828" spans="1:25">
      <c r="A828" t="s">
        <v>1602</v>
      </c>
      <c r="B828" s="2" t="str">
        <f>Hyperlink("https://www.diodes.com/datasheet/download/DMNH6021SPD.pdf")</f>
        <v>https://www.diodes.com/datasheet/download/DMNH6021SPD.pdf</v>
      </c>
      <c r="C828" t="str">
        <f>Hyperlink("https://www.diodes.com/part/view/DMNH6021SPD","DMNH6021SPD")</f>
        <v>DMNH6021SPD</v>
      </c>
      <c r="D828" t="s">
        <v>1603</v>
      </c>
      <c r="E828" t="s">
        <v>27</v>
      </c>
      <c r="F828" t="s">
        <v>28</v>
      </c>
      <c r="G828" t="s">
        <v>40</v>
      </c>
      <c r="H828" t="s">
        <v>30</v>
      </c>
      <c r="I828">
        <v>60</v>
      </c>
      <c r="J828">
        <v>20</v>
      </c>
      <c r="K828">
        <v>8.2</v>
      </c>
      <c r="L828">
        <v>32</v>
      </c>
      <c r="M828">
        <v>2.8</v>
      </c>
      <c r="O828">
        <v>25</v>
      </c>
      <c r="P828">
        <v>40</v>
      </c>
      <c r="T828">
        <v>3</v>
      </c>
      <c r="V828">
        <v>20.1</v>
      </c>
      <c r="W828">
        <v>1143</v>
      </c>
      <c r="X828">
        <v>25</v>
      </c>
      <c r="Y828" t="s">
        <v>144</v>
      </c>
    </row>
    <row r="829" spans="1:25">
      <c r="A829" t="s">
        <v>1604</v>
      </c>
      <c r="B829" s="2" t="str">
        <f>Hyperlink("https://www.diodes.com/datasheet/download/DMNH6021SPDQ.pdf")</f>
        <v>https://www.diodes.com/datasheet/download/DMNH6021SPDQ.pdf</v>
      </c>
      <c r="C829" t="str">
        <f>Hyperlink("https://www.diodes.com/part/view/DMNH6021SPDQ","DMNH6021SPDQ")</f>
        <v>DMNH6021SPDQ</v>
      </c>
      <c r="D829" t="s">
        <v>1603</v>
      </c>
      <c r="E829" t="s">
        <v>27</v>
      </c>
      <c r="F829" t="s">
        <v>37</v>
      </c>
      <c r="G829" t="s">
        <v>40</v>
      </c>
      <c r="H829" t="s">
        <v>30</v>
      </c>
      <c r="I829">
        <v>60</v>
      </c>
      <c r="J829">
        <v>20</v>
      </c>
      <c r="K829">
        <v>8.2</v>
      </c>
      <c r="L829">
        <v>32</v>
      </c>
      <c r="M829">
        <v>2.8</v>
      </c>
      <c r="O829">
        <v>25</v>
      </c>
      <c r="P829">
        <v>40</v>
      </c>
      <c r="T829">
        <v>3</v>
      </c>
      <c r="V829">
        <v>20.1</v>
      </c>
      <c r="W829">
        <v>1143</v>
      </c>
      <c r="X829">
        <v>25</v>
      </c>
      <c r="Y829" t="s">
        <v>144</v>
      </c>
    </row>
    <row r="830" spans="1:25">
      <c r="A830" t="s">
        <v>1605</v>
      </c>
      <c r="B830" s="2" t="str">
        <f>Hyperlink("https://www.diodes.com/datasheet/download/DMNH6021SPDW.pdf")</f>
        <v>https://www.diodes.com/datasheet/download/DMNH6021SPDW.pdf</v>
      </c>
      <c r="C830" t="str">
        <f>Hyperlink("https://www.diodes.com/part/view/DMNH6021SPDW","DMNH6021SPDW")</f>
        <v>DMNH6021SPDW</v>
      </c>
      <c r="D830" t="s">
        <v>46</v>
      </c>
      <c r="E830" t="s">
        <v>30</v>
      </c>
      <c r="F830" t="s">
        <v>28</v>
      </c>
      <c r="G830" t="s">
        <v>40</v>
      </c>
      <c r="H830" t="s">
        <v>30</v>
      </c>
      <c r="I830">
        <v>60</v>
      </c>
      <c r="J830">
        <v>20</v>
      </c>
      <c r="K830">
        <v>8.2</v>
      </c>
      <c r="L830">
        <v>32</v>
      </c>
      <c r="M830">
        <v>2.8</v>
      </c>
      <c r="O830">
        <v>25</v>
      </c>
      <c r="P830">
        <v>40</v>
      </c>
      <c r="T830">
        <v>3</v>
      </c>
      <c r="V830">
        <v>20.1</v>
      </c>
      <c r="W830">
        <v>1143</v>
      </c>
      <c r="X830">
        <v>25</v>
      </c>
      <c r="Y830" t="s">
        <v>907</v>
      </c>
    </row>
    <row r="831" spans="1:25">
      <c r="A831" t="s">
        <v>1606</v>
      </c>
      <c r="B831" s="2" t="str">
        <f>Hyperlink("https://www.diodes.com/datasheet/download/DMNH6021SPDWQ.pdf")</f>
        <v>https://www.diodes.com/datasheet/download/DMNH6021SPDWQ.pdf</v>
      </c>
      <c r="C831" t="str">
        <f>Hyperlink("https://www.diodes.com/part/view/DMNH6021SPDWQ","DMNH6021SPDWQ")</f>
        <v>DMNH6021SPDWQ</v>
      </c>
      <c r="D831" t="s">
        <v>1580</v>
      </c>
      <c r="E831" t="s">
        <v>27</v>
      </c>
      <c r="F831" t="s">
        <v>37</v>
      </c>
      <c r="G831" t="s">
        <v>40</v>
      </c>
      <c r="H831" t="s">
        <v>30</v>
      </c>
      <c r="I831">
        <v>60</v>
      </c>
      <c r="J831">
        <v>20</v>
      </c>
      <c r="K831">
        <v>8.2</v>
      </c>
      <c r="L831">
        <v>32</v>
      </c>
      <c r="M831">
        <v>2.8</v>
      </c>
      <c r="O831">
        <v>25</v>
      </c>
      <c r="P831">
        <v>40</v>
      </c>
      <c r="T831">
        <v>3</v>
      </c>
      <c r="V831">
        <v>20.1</v>
      </c>
      <c r="W831">
        <v>1143</v>
      </c>
      <c r="X831">
        <v>25</v>
      </c>
      <c r="Y831" t="s">
        <v>907</v>
      </c>
    </row>
    <row r="832" spans="1:25">
      <c r="A832" t="s">
        <v>1607</v>
      </c>
      <c r="B832" s="2" t="str">
        <f>Hyperlink("https://www.diodes.com/datasheet/download/DMNH6021SPS.pdf")</f>
        <v>https://www.diodes.com/datasheet/download/DMNH6021SPS.pdf</v>
      </c>
      <c r="C832" t="str">
        <f>Hyperlink("https://www.diodes.com/part/view/DMNH6021SPS","DMNH6021SPS")</f>
        <v>DMNH6021SPS</v>
      </c>
      <c r="D832" t="s">
        <v>1578</v>
      </c>
      <c r="E832" t="s">
        <v>27</v>
      </c>
      <c r="F832" t="s">
        <v>28</v>
      </c>
      <c r="G832" t="s">
        <v>29</v>
      </c>
      <c r="H832" t="s">
        <v>30</v>
      </c>
      <c r="I832">
        <v>60</v>
      </c>
      <c r="J832">
        <v>20</v>
      </c>
      <c r="L832">
        <v>55</v>
      </c>
      <c r="M832">
        <v>3</v>
      </c>
      <c r="N832">
        <v>53</v>
      </c>
      <c r="O832">
        <v>23</v>
      </c>
      <c r="P832">
        <v>28</v>
      </c>
      <c r="T832">
        <v>3</v>
      </c>
      <c r="U832">
        <v>9.5</v>
      </c>
      <c r="V832">
        <v>19.7</v>
      </c>
      <c r="W832">
        <v>1016</v>
      </c>
      <c r="X832">
        <v>30</v>
      </c>
      <c r="Y832" t="s">
        <v>907</v>
      </c>
    </row>
    <row r="833" spans="1:25">
      <c r="A833" t="s">
        <v>1608</v>
      </c>
      <c r="B833" s="2" t="str">
        <f>Hyperlink("https://www.diodes.com/datasheet/download/DMNH6021SPSQ.pdf")</f>
        <v>https://www.diodes.com/datasheet/download/DMNH6021SPSQ.pdf</v>
      </c>
      <c r="C833" t="str">
        <f>Hyperlink("https://www.diodes.com/part/view/DMNH6021SPSQ","DMNH6021SPSQ")</f>
        <v>DMNH6021SPSQ</v>
      </c>
      <c r="D833" t="s">
        <v>1580</v>
      </c>
      <c r="E833" t="s">
        <v>27</v>
      </c>
      <c r="F833" t="s">
        <v>37</v>
      </c>
      <c r="G833" t="s">
        <v>29</v>
      </c>
      <c r="H833" t="s">
        <v>30</v>
      </c>
      <c r="I833">
        <v>60</v>
      </c>
      <c r="J833">
        <v>20</v>
      </c>
      <c r="L833">
        <v>55</v>
      </c>
      <c r="M833">
        <v>3</v>
      </c>
      <c r="N833">
        <v>53</v>
      </c>
      <c r="O833">
        <v>23</v>
      </c>
      <c r="P833">
        <v>28</v>
      </c>
      <c r="T833">
        <v>3</v>
      </c>
      <c r="U833">
        <v>9.5</v>
      </c>
      <c r="V833">
        <v>19.7</v>
      </c>
      <c r="W833">
        <v>1016</v>
      </c>
      <c r="X833">
        <v>30</v>
      </c>
      <c r="Y833" t="s">
        <v>907</v>
      </c>
    </row>
    <row r="834" spans="1:25">
      <c r="A834" t="s">
        <v>1609</v>
      </c>
      <c r="B834" s="2" t="str">
        <f>Hyperlink("https://www.diodes.com/datasheet/download/DMNH6021SPSW.pdf")</f>
        <v>https://www.diodes.com/datasheet/download/DMNH6021SPSW.pdf</v>
      </c>
      <c r="C834" t="str">
        <f>Hyperlink("https://www.diodes.com/part/view/DMNH6021SPSW","DMNH6021SPSW")</f>
        <v>DMNH6021SPSW</v>
      </c>
      <c r="D834" t="s">
        <v>1580</v>
      </c>
      <c r="E834" t="s">
        <v>30</v>
      </c>
      <c r="F834" t="s">
        <v>28</v>
      </c>
      <c r="G834" t="s">
        <v>29</v>
      </c>
      <c r="H834" t="s">
        <v>30</v>
      </c>
      <c r="I834">
        <v>60</v>
      </c>
      <c r="J834">
        <v>20</v>
      </c>
      <c r="L834">
        <v>44</v>
      </c>
      <c r="M834">
        <v>3</v>
      </c>
      <c r="N834">
        <v>44</v>
      </c>
      <c r="O834">
        <v>23</v>
      </c>
      <c r="P834">
        <v>28</v>
      </c>
      <c r="T834">
        <v>3</v>
      </c>
      <c r="U834">
        <v>9.7</v>
      </c>
      <c r="V834">
        <v>20.1</v>
      </c>
      <c r="W834">
        <v>1132</v>
      </c>
      <c r="X834">
        <v>30</v>
      </c>
      <c r="Y834" t="s">
        <v>907</v>
      </c>
    </row>
    <row r="835" spans="1:25">
      <c r="A835" t="s">
        <v>1610</v>
      </c>
      <c r="B835" s="2" t="str">
        <f>Hyperlink("https://www.diodes.com/datasheet/download/DMNH6021SPSWQ.pdf")</f>
        <v>https://www.diodes.com/datasheet/download/DMNH6021SPSWQ.pdf</v>
      </c>
      <c r="C835" t="str">
        <f>Hyperlink("https://www.diodes.com/part/view/DMNH6021SPSWQ","DMNH6021SPSWQ")</f>
        <v>DMNH6021SPSWQ</v>
      </c>
      <c r="D835" t="s">
        <v>1580</v>
      </c>
      <c r="E835" t="s">
        <v>27</v>
      </c>
      <c r="F835" t="s">
        <v>37</v>
      </c>
      <c r="G835" t="s">
        <v>29</v>
      </c>
      <c r="H835" t="s">
        <v>30</v>
      </c>
      <c r="I835">
        <v>60</v>
      </c>
      <c r="J835">
        <v>20</v>
      </c>
      <c r="L835">
        <v>44</v>
      </c>
      <c r="M835">
        <v>3</v>
      </c>
      <c r="N835">
        <v>44</v>
      </c>
      <c r="O835">
        <v>23</v>
      </c>
      <c r="P835">
        <v>28</v>
      </c>
      <c r="T835">
        <v>3</v>
      </c>
      <c r="U835">
        <v>9.7</v>
      </c>
      <c r="V835">
        <v>20.1</v>
      </c>
      <c r="W835">
        <v>1132</v>
      </c>
      <c r="X835">
        <v>30</v>
      </c>
      <c r="Y835" t="s">
        <v>907</v>
      </c>
    </row>
    <row r="836" spans="1:25">
      <c r="A836" t="s">
        <v>1611</v>
      </c>
      <c r="B836" s="2" t="str">
        <f>Hyperlink("https://www.diodes.com/datasheet/download/DMNH6022SSD.pdf")</f>
        <v>https://www.diodes.com/datasheet/download/DMNH6022SSD.pdf</v>
      </c>
      <c r="C836" t="str">
        <f>Hyperlink("https://www.diodes.com/part/view/DMNH6022SSD","DMNH6022SSD")</f>
        <v>DMNH6022SSD</v>
      </c>
      <c r="D836" t="s">
        <v>1603</v>
      </c>
      <c r="E836" t="s">
        <v>27</v>
      </c>
      <c r="F836" t="s">
        <v>28</v>
      </c>
      <c r="G836" t="s">
        <v>40</v>
      </c>
      <c r="H836" t="s">
        <v>30</v>
      </c>
      <c r="I836">
        <v>60</v>
      </c>
      <c r="J836">
        <v>20</v>
      </c>
      <c r="K836">
        <v>7.1</v>
      </c>
      <c r="L836">
        <v>22.6</v>
      </c>
      <c r="M836">
        <v>2.1</v>
      </c>
      <c r="O836">
        <v>27</v>
      </c>
      <c r="T836">
        <v>3</v>
      </c>
      <c r="U836">
        <v>14</v>
      </c>
      <c r="V836">
        <v>32</v>
      </c>
      <c r="W836">
        <v>2127</v>
      </c>
      <c r="X836">
        <v>25</v>
      </c>
      <c r="Y836" t="s">
        <v>213</v>
      </c>
    </row>
    <row r="837" spans="1:25">
      <c r="A837" t="s">
        <v>1612</v>
      </c>
      <c r="B837" s="2" t="str">
        <f>Hyperlink("https://www.diodes.com/datasheet/download/DMNH6022SSDQ.pdf")</f>
        <v>https://www.diodes.com/datasheet/download/DMNH6022SSDQ.pdf</v>
      </c>
      <c r="C837" t="str">
        <f>Hyperlink("https://www.diodes.com/part/view/DMNH6022SSDQ","DMNH6022SSDQ")</f>
        <v>DMNH6022SSDQ</v>
      </c>
      <c r="D837" t="s">
        <v>1613</v>
      </c>
      <c r="E837" t="s">
        <v>27</v>
      </c>
      <c r="F837" t="s">
        <v>37</v>
      </c>
      <c r="G837" t="s">
        <v>40</v>
      </c>
      <c r="H837" t="s">
        <v>30</v>
      </c>
      <c r="I837">
        <v>60</v>
      </c>
      <c r="J837">
        <v>20</v>
      </c>
      <c r="K837">
        <v>7.1</v>
      </c>
      <c r="L837">
        <v>22.6</v>
      </c>
      <c r="M837">
        <v>2.1</v>
      </c>
      <c r="O837">
        <v>27</v>
      </c>
      <c r="T837">
        <v>3</v>
      </c>
      <c r="U837">
        <v>14</v>
      </c>
      <c r="V837">
        <v>32</v>
      </c>
      <c r="W837">
        <v>2127</v>
      </c>
      <c r="X837">
        <v>25</v>
      </c>
      <c r="Y837" t="s">
        <v>213</v>
      </c>
    </row>
    <row r="838" spans="1:25">
      <c r="A838" t="s">
        <v>1614</v>
      </c>
      <c r="B838" s="2" t="str">
        <f>Hyperlink("https://www.diodes.com/datasheet/download/DMNH6035SPDW.pdf")</f>
        <v>https://www.diodes.com/datasheet/download/DMNH6035SPDW.pdf</v>
      </c>
      <c r="C838" t="str">
        <f>Hyperlink("https://www.diodes.com/part/view/DMNH6035SPDW","DMNH6035SPDW")</f>
        <v>DMNH6035SPDW</v>
      </c>
      <c r="D838" t="s">
        <v>1578</v>
      </c>
      <c r="E838" t="s">
        <v>27</v>
      </c>
      <c r="F838" t="s">
        <v>28</v>
      </c>
      <c r="G838" t="s">
        <v>40</v>
      </c>
      <c r="H838" t="s">
        <v>30</v>
      </c>
      <c r="I838">
        <v>60</v>
      </c>
      <c r="J838">
        <v>20</v>
      </c>
      <c r="L838">
        <v>33</v>
      </c>
      <c r="M838">
        <v>2.4</v>
      </c>
      <c r="N838">
        <v>68</v>
      </c>
      <c r="O838">
        <v>35</v>
      </c>
      <c r="P838">
        <v>44</v>
      </c>
      <c r="T838">
        <v>3</v>
      </c>
      <c r="V838">
        <v>16</v>
      </c>
      <c r="W838">
        <v>879</v>
      </c>
      <c r="X838">
        <v>25</v>
      </c>
      <c r="Y838" t="s">
        <v>907</v>
      </c>
    </row>
    <row r="839" spans="1:25">
      <c r="A839" t="s">
        <v>1615</v>
      </c>
      <c r="B839" s="2" t="str">
        <f>Hyperlink("https://www.diodes.com/datasheet/download/DMNH6035SPDWQ.pdf")</f>
        <v>https://www.diodes.com/datasheet/download/DMNH6035SPDWQ.pdf</v>
      </c>
      <c r="C839" t="str">
        <f>Hyperlink("https://www.diodes.com/part/view/DMNH6035SPDWQ","DMNH6035SPDWQ")</f>
        <v>DMNH6035SPDWQ</v>
      </c>
      <c r="D839" t="s">
        <v>1616</v>
      </c>
      <c r="E839" t="s">
        <v>27</v>
      </c>
      <c r="F839" t="s">
        <v>37</v>
      </c>
      <c r="G839" t="s">
        <v>40</v>
      </c>
      <c r="H839" t="s">
        <v>30</v>
      </c>
      <c r="I839">
        <v>60</v>
      </c>
      <c r="J839">
        <v>20</v>
      </c>
      <c r="L839">
        <v>33</v>
      </c>
      <c r="M839">
        <v>2.4</v>
      </c>
      <c r="N839">
        <v>68</v>
      </c>
      <c r="O839">
        <v>35</v>
      </c>
      <c r="P839">
        <v>44</v>
      </c>
      <c r="T839">
        <v>3</v>
      </c>
      <c r="V839">
        <v>16</v>
      </c>
      <c r="W839">
        <v>879</v>
      </c>
      <c r="X839">
        <v>25</v>
      </c>
      <c r="Y839" t="s">
        <v>839</v>
      </c>
    </row>
    <row r="840" spans="1:25">
      <c r="A840" t="s">
        <v>1617</v>
      </c>
      <c r="B840" s="2" t="str">
        <f>Hyperlink("https://www.diodes.com/datasheet/download/DMNH6042SK3.pdf")</f>
        <v>https://www.diodes.com/datasheet/download/DMNH6042SK3.pdf</v>
      </c>
      <c r="C840" t="str">
        <f>Hyperlink("https://www.diodes.com/part/view/DMNH6042SK3","DMNH6042SK3")</f>
        <v>DMNH6042SK3</v>
      </c>
      <c r="D840" t="s">
        <v>1580</v>
      </c>
      <c r="E840" t="s">
        <v>27</v>
      </c>
      <c r="F840" t="s">
        <v>28</v>
      </c>
      <c r="G840" t="s">
        <v>29</v>
      </c>
      <c r="H840" t="s">
        <v>30</v>
      </c>
      <c r="I840">
        <v>60</v>
      </c>
      <c r="J840">
        <v>20</v>
      </c>
      <c r="L840">
        <v>25</v>
      </c>
      <c r="M840">
        <v>3.5</v>
      </c>
      <c r="O840">
        <v>50</v>
      </c>
      <c r="P840">
        <v>65</v>
      </c>
      <c r="T840">
        <v>3</v>
      </c>
      <c r="U840">
        <v>4.2</v>
      </c>
      <c r="V840">
        <v>8.8</v>
      </c>
      <c r="W840">
        <v>492</v>
      </c>
      <c r="X840">
        <v>25</v>
      </c>
      <c r="Y840" t="s">
        <v>681</v>
      </c>
    </row>
    <row r="841" spans="1:25">
      <c r="A841" t="s">
        <v>1618</v>
      </c>
      <c r="B841" s="2" t="str">
        <f>Hyperlink("https://www.diodes.com/datasheet/download/DMNH6042SK3Q.pdf")</f>
        <v>https://www.diodes.com/datasheet/download/DMNH6042SK3Q.pdf</v>
      </c>
      <c r="C841" t="str">
        <f>Hyperlink("https://www.diodes.com/part/view/DMNH6042SK3Q","DMNH6042SK3Q")</f>
        <v>DMNH6042SK3Q</v>
      </c>
      <c r="D841" t="s">
        <v>1580</v>
      </c>
      <c r="E841" t="s">
        <v>27</v>
      </c>
      <c r="F841" t="s">
        <v>37</v>
      </c>
      <c r="G841" t="s">
        <v>29</v>
      </c>
      <c r="H841" t="s">
        <v>30</v>
      </c>
      <c r="I841">
        <v>60</v>
      </c>
      <c r="J841">
        <v>20</v>
      </c>
      <c r="L841">
        <v>25</v>
      </c>
      <c r="M841">
        <v>3.5</v>
      </c>
      <c r="O841">
        <v>50</v>
      </c>
      <c r="P841">
        <v>65</v>
      </c>
      <c r="T841">
        <v>3</v>
      </c>
      <c r="U841">
        <v>4.2</v>
      </c>
      <c r="V841">
        <v>8.8</v>
      </c>
      <c r="W841">
        <v>584</v>
      </c>
      <c r="X841">
        <v>25</v>
      </c>
      <c r="Y841" t="s">
        <v>681</v>
      </c>
    </row>
    <row r="842" spans="1:25">
      <c r="A842" t="s">
        <v>1619</v>
      </c>
      <c r="B842" s="2" t="str">
        <f>Hyperlink("https://www.diodes.com/datasheet/download/DMNH6042SPD.pdf")</f>
        <v>https://www.diodes.com/datasheet/download/DMNH6042SPD.pdf</v>
      </c>
      <c r="C842" t="str">
        <f>Hyperlink("https://www.diodes.com/part/view/DMNH6042SPD","DMNH6042SPD")</f>
        <v>DMNH6042SPD</v>
      </c>
      <c r="D842" t="s">
        <v>39</v>
      </c>
      <c r="E842" t="s">
        <v>27</v>
      </c>
      <c r="F842" t="s">
        <v>28</v>
      </c>
      <c r="G842" t="s">
        <v>40</v>
      </c>
      <c r="H842" t="s">
        <v>30</v>
      </c>
      <c r="I842">
        <v>60</v>
      </c>
      <c r="J842">
        <v>20</v>
      </c>
      <c r="K842">
        <v>5.7</v>
      </c>
      <c r="L842">
        <v>24</v>
      </c>
      <c r="M842">
        <v>2.5</v>
      </c>
      <c r="O842">
        <v>50</v>
      </c>
      <c r="P842">
        <v>65</v>
      </c>
      <c r="T842">
        <v>3</v>
      </c>
      <c r="U842">
        <v>4.2</v>
      </c>
      <c r="V842">
        <v>8.8</v>
      </c>
      <c r="W842">
        <v>584</v>
      </c>
      <c r="X842">
        <v>25</v>
      </c>
      <c r="Y842" t="s">
        <v>144</v>
      </c>
    </row>
    <row r="843" spans="1:25">
      <c r="A843" t="s">
        <v>1620</v>
      </c>
      <c r="B843" s="2" t="str">
        <f>Hyperlink("https://www.diodes.com/datasheet/download/DMNH6042SPDQ.pdf")</f>
        <v>https://www.diodes.com/datasheet/download/DMNH6042SPDQ.pdf</v>
      </c>
      <c r="C843" t="str">
        <f>Hyperlink("https://www.diodes.com/part/view/DMNH6042SPDQ","DMNH6042SPDQ")</f>
        <v>DMNH6042SPDQ</v>
      </c>
      <c r="D843" t="s">
        <v>1603</v>
      </c>
      <c r="E843" t="s">
        <v>27</v>
      </c>
      <c r="F843" t="s">
        <v>37</v>
      </c>
      <c r="G843" t="s">
        <v>40</v>
      </c>
      <c r="H843" t="s">
        <v>30</v>
      </c>
      <c r="I843">
        <v>60</v>
      </c>
      <c r="J843">
        <v>20</v>
      </c>
      <c r="K843">
        <v>5.7</v>
      </c>
      <c r="L843">
        <v>24</v>
      </c>
      <c r="M843">
        <v>2.5</v>
      </c>
      <c r="O843">
        <v>50</v>
      </c>
      <c r="P843">
        <v>65</v>
      </c>
      <c r="T843">
        <v>3</v>
      </c>
      <c r="U843">
        <v>4.2</v>
      </c>
      <c r="V843">
        <v>8.8</v>
      </c>
      <c r="W843">
        <v>584</v>
      </c>
      <c r="X843">
        <v>25</v>
      </c>
      <c r="Y843" t="s">
        <v>144</v>
      </c>
    </row>
    <row r="844" spans="1:25">
      <c r="A844" t="s">
        <v>1621</v>
      </c>
      <c r="B844" s="2" t="str">
        <f>Hyperlink("https://www.diodes.com/datasheet/download/DMNH6042SPS.pdf")</f>
        <v>https://www.diodes.com/datasheet/download/DMNH6042SPS.pdf</v>
      </c>
      <c r="C844" t="str">
        <f>Hyperlink("https://www.diodes.com/part/view/DMNH6042SPS","DMNH6042SPS")</f>
        <v>DMNH6042SPS</v>
      </c>
      <c r="D844" t="s">
        <v>1384</v>
      </c>
      <c r="E844" t="s">
        <v>27</v>
      </c>
      <c r="F844" t="s">
        <v>28</v>
      </c>
      <c r="G844" t="s">
        <v>29</v>
      </c>
      <c r="H844" t="s">
        <v>30</v>
      </c>
      <c r="I844">
        <v>60</v>
      </c>
      <c r="J844">
        <v>20</v>
      </c>
      <c r="L844">
        <v>24</v>
      </c>
      <c r="M844">
        <v>2.9</v>
      </c>
      <c r="O844">
        <v>50</v>
      </c>
      <c r="P844">
        <v>65</v>
      </c>
      <c r="T844">
        <v>3</v>
      </c>
      <c r="U844">
        <v>4.2</v>
      </c>
      <c r="V844">
        <v>8.8</v>
      </c>
      <c r="W844">
        <v>584</v>
      </c>
      <c r="X844">
        <v>25</v>
      </c>
      <c r="Y844" t="s">
        <v>907</v>
      </c>
    </row>
    <row r="845" spans="1:25">
      <c r="A845" t="s">
        <v>1622</v>
      </c>
      <c r="B845" s="2" t="str">
        <f>Hyperlink("https://www.diodes.com/datasheet/download/DMNH6042SPSQ.pdf")</f>
        <v>https://www.diodes.com/datasheet/download/DMNH6042SPSQ.pdf</v>
      </c>
      <c r="C845" t="str">
        <f>Hyperlink("https://www.diodes.com/part/view/DMNH6042SPSQ","DMNH6042SPSQ")</f>
        <v>DMNH6042SPSQ</v>
      </c>
      <c r="D845" t="s">
        <v>1580</v>
      </c>
      <c r="E845" t="s">
        <v>27</v>
      </c>
      <c r="F845" t="s">
        <v>37</v>
      </c>
      <c r="G845" t="s">
        <v>29</v>
      </c>
      <c r="H845" t="s">
        <v>30</v>
      </c>
      <c r="I845">
        <v>60</v>
      </c>
      <c r="J845">
        <v>20</v>
      </c>
      <c r="L845">
        <v>24</v>
      </c>
      <c r="M845">
        <v>2.9</v>
      </c>
      <c r="O845">
        <v>50</v>
      </c>
      <c r="P845">
        <v>65</v>
      </c>
      <c r="T845">
        <v>3</v>
      </c>
      <c r="U845">
        <v>4.2</v>
      </c>
      <c r="V845">
        <v>8.8</v>
      </c>
      <c r="W845">
        <v>584</v>
      </c>
      <c r="X845">
        <v>25</v>
      </c>
      <c r="Y845" t="s">
        <v>907</v>
      </c>
    </row>
    <row r="846" spans="1:25">
      <c r="A846" t="s">
        <v>1623</v>
      </c>
      <c r="B846" s="2" t="str">
        <f>Hyperlink("https://www.diodes.com/datasheet/download/DMNH6042SPSW.pdf")</f>
        <v>https://www.diodes.com/datasheet/download/DMNH6042SPSW.pdf</v>
      </c>
      <c r="C846" t="str">
        <f>Hyperlink("https://www.diodes.com/part/view/DMNH6042SPSW","DMNH6042SPSW")</f>
        <v>DMNH6042SPSW</v>
      </c>
      <c r="D846" t="s">
        <v>1584</v>
      </c>
      <c r="E846" t="s">
        <v>27</v>
      </c>
      <c r="F846" t="s">
        <v>28</v>
      </c>
      <c r="G846" t="s">
        <v>29</v>
      </c>
      <c r="H846" t="s">
        <v>30</v>
      </c>
      <c r="I846">
        <v>60</v>
      </c>
      <c r="J846">
        <v>20</v>
      </c>
      <c r="L846">
        <v>24</v>
      </c>
      <c r="M846">
        <v>2.9</v>
      </c>
      <c r="O846">
        <v>50</v>
      </c>
      <c r="P846">
        <v>65</v>
      </c>
      <c r="S846">
        <v>1</v>
      </c>
      <c r="T846">
        <v>3</v>
      </c>
      <c r="U846">
        <v>4.2</v>
      </c>
      <c r="V846">
        <v>8.8</v>
      </c>
      <c r="W846">
        <v>584</v>
      </c>
      <c r="X846">
        <v>25</v>
      </c>
      <c r="Y846" t="s">
        <v>1546</v>
      </c>
    </row>
    <row r="847" spans="1:25">
      <c r="A847" t="s">
        <v>1624</v>
      </c>
      <c r="B847" s="2" t="str">
        <f>Hyperlink("https://www.diodes.com/datasheet/download/DMNH6042SPSWQ.pdf")</f>
        <v>https://www.diodes.com/datasheet/download/DMNH6042SPSWQ.pdf</v>
      </c>
      <c r="C847" t="str">
        <f>Hyperlink("https://www.diodes.com/part/view/DMNH6042SPSWQ","DMNH6042SPSWQ")</f>
        <v>DMNH6042SPSWQ</v>
      </c>
      <c r="D847" t="s">
        <v>1586</v>
      </c>
      <c r="E847" t="s">
        <v>27</v>
      </c>
      <c r="F847" t="s">
        <v>37</v>
      </c>
      <c r="G847" t="s">
        <v>29</v>
      </c>
      <c r="H847" t="s">
        <v>30</v>
      </c>
      <c r="I847">
        <v>60</v>
      </c>
      <c r="J847">
        <v>20</v>
      </c>
      <c r="L847">
        <v>24</v>
      </c>
      <c r="M847">
        <v>2.9</v>
      </c>
      <c r="O847">
        <v>50</v>
      </c>
      <c r="P847">
        <v>65</v>
      </c>
      <c r="S847">
        <v>1</v>
      </c>
      <c r="T847">
        <v>3</v>
      </c>
      <c r="U847">
        <v>4.2</v>
      </c>
      <c r="V847">
        <v>8.8</v>
      </c>
      <c r="W847">
        <v>25</v>
      </c>
      <c r="X847">
        <v>584</v>
      </c>
      <c r="Y847" t="s">
        <v>1546</v>
      </c>
    </row>
    <row r="848" spans="1:25">
      <c r="A848" t="s">
        <v>1625</v>
      </c>
      <c r="B848" s="2" t="str">
        <f>Hyperlink("https://www.diodes.com/datasheet/download/DMNH6042SSD.pdf")</f>
        <v>https://www.diodes.com/datasheet/download/DMNH6042SSD.pdf</v>
      </c>
      <c r="C848" t="str">
        <f>Hyperlink("https://www.diodes.com/part/view/DMNH6042SSD","DMNH6042SSD")</f>
        <v>DMNH6042SSD</v>
      </c>
      <c r="D848" t="s">
        <v>39</v>
      </c>
      <c r="E848" t="s">
        <v>27</v>
      </c>
      <c r="F848" t="s">
        <v>28</v>
      </c>
      <c r="G848" t="s">
        <v>40</v>
      </c>
      <c r="H848" t="s">
        <v>30</v>
      </c>
      <c r="I848">
        <v>60</v>
      </c>
      <c r="J848">
        <v>20</v>
      </c>
      <c r="K848">
        <v>5.3</v>
      </c>
      <c r="L848">
        <v>16.7</v>
      </c>
      <c r="M848">
        <v>2.1</v>
      </c>
      <c r="O848">
        <v>50</v>
      </c>
      <c r="P848">
        <v>65</v>
      </c>
      <c r="T848">
        <v>3</v>
      </c>
      <c r="U848">
        <v>4.2</v>
      </c>
      <c r="V848">
        <v>8.8</v>
      </c>
      <c r="W848">
        <v>584</v>
      </c>
      <c r="X848">
        <v>25</v>
      </c>
      <c r="Y848" t="s">
        <v>213</v>
      </c>
    </row>
    <row r="849" spans="1:25">
      <c r="A849" t="s">
        <v>1626</v>
      </c>
      <c r="B849" s="2" t="str">
        <f>Hyperlink("https://www.diodes.com/datasheet/download/DMNH6042SSDQ.pdf")</f>
        <v>https://www.diodes.com/datasheet/download/DMNH6042SSDQ.pdf</v>
      </c>
      <c r="C849" t="str">
        <f>Hyperlink("https://www.diodes.com/part/view/DMNH6042SSDQ","DMNH6042SSDQ")</f>
        <v>DMNH6042SSDQ</v>
      </c>
      <c r="D849" t="s">
        <v>1627</v>
      </c>
      <c r="E849" t="s">
        <v>27</v>
      </c>
      <c r="F849" t="s">
        <v>37</v>
      </c>
      <c r="G849" t="s">
        <v>40</v>
      </c>
      <c r="H849" t="s">
        <v>30</v>
      </c>
      <c r="I849">
        <v>60</v>
      </c>
      <c r="J849">
        <v>20</v>
      </c>
      <c r="K849">
        <v>5.3</v>
      </c>
      <c r="L849">
        <v>16.7</v>
      </c>
      <c r="M849">
        <v>2.1</v>
      </c>
      <c r="O849">
        <v>50</v>
      </c>
      <c r="P849">
        <v>65</v>
      </c>
      <c r="T849">
        <v>3</v>
      </c>
      <c r="U849">
        <v>4.2</v>
      </c>
      <c r="V849">
        <v>8.8</v>
      </c>
      <c r="W849">
        <v>584</v>
      </c>
      <c r="X849">
        <v>25</v>
      </c>
      <c r="Y849" t="s">
        <v>213</v>
      </c>
    </row>
    <row r="850" spans="1:25">
      <c r="A850" t="s">
        <v>1628</v>
      </c>
      <c r="B850" s="2" t="str">
        <f>Hyperlink("https://www.diodes.com/datasheet/download/DMNH6065SPDW.pdf")</f>
        <v>https://www.diodes.com/datasheet/download/DMNH6065SPDW.pdf</v>
      </c>
      <c r="C850" t="str">
        <f>Hyperlink("https://www.diodes.com/part/view/DMNH6065SPDW","DMNH6065SPDW")</f>
        <v>DMNH6065SPDW</v>
      </c>
      <c r="D850" t="s">
        <v>1578</v>
      </c>
      <c r="E850" t="s">
        <v>27</v>
      </c>
      <c r="F850" t="s">
        <v>28</v>
      </c>
      <c r="G850" t="s">
        <v>40</v>
      </c>
      <c r="H850" t="s">
        <v>30</v>
      </c>
      <c r="I850">
        <v>60</v>
      </c>
      <c r="J850">
        <v>20</v>
      </c>
      <c r="L850">
        <v>27</v>
      </c>
      <c r="M850">
        <v>2.4</v>
      </c>
      <c r="N850">
        <v>68</v>
      </c>
      <c r="O850">
        <v>65</v>
      </c>
      <c r="P850">
        <v>79</v>
      </c>
      <c r="T850">
        <v>3</v>
      </c>
      <c r="U850">
        <v>4.6</v>
      </c>
      <c r="V850">
        <v>9.5</v>
      </c>
      <c r="W850">
        <v>466</v>
      </c>
      <c r="X850">
        <v>25</v>
      </c>
      <c r="Y850" t="s">
        <v>907</v>
      </c>
    </row>
    <row r="851" spans="1:25">
      <c r="A851" t="s">
        <v>1629</v>
      </c>
      <c r="B851" s="2" t="str">
        <f>Hyperlink("https://www.diodes.com/datasheet/download/DMNH6065SPDWQ.pdf")</f>
        <v>https://www.diodes.com/datasheet/download/DMNH6065SPDWQ.pdf</v>
      </c>
      <c r="C851" t="str">
        <f>Hyperlink("https://www.diodes.com/part/view/DMNH6065SPDWQ","DMNH6065SPDWQ")</f>
        <v>DMNH6065SPDWQ</v>
      </c>
      <c r="D851" t="s">
        <v>1578</v>
      </c>
      <c r="E851" t="s">
        <v>27</v>
      </c>
      <c r="F851" t="s">
        <v>37</v>
      </c>
      <c r="G851" t="s">
        <v>40</v>
      </c>
      <c r="H851" t="s">
        <v>30</v>
      </c>
      <c r="I851">
        <v>60</v>
      </c>
      <c r="J851">
        <v>20</v>
      </c>
      <c r="L851">
        <v>27</v>
      </c>
      <c r="M851">
        <v>2.4</v>
      </c>
      <c r="N851">
        <v>68</v>
      </c>
      <c r="O851">
        <v>65</v>
      </c>
      <c r="P851">
        <v>79</v>
      </c>
      <c r="T851">
        <v>3</v>
      </c>
      <c r="U851">
        <v>4.6</v>
      </c>
      <c r="V851">
        <v>9.5</v>
      </c>
      <c r="W851">
        <v>466</v>
      </c>
      <c r="X851">
        <v>25</v>
      </c>
      <c r="Y851" t="s">
        <v>907</v>
      </c>
    </row>
    <row r="852" spans="1:25">
      <c r="A852" t="s">
        <v>1630</v>
      </c>
      <c r="B852" s="2" t="str">
        <f>Hyperlink("https://www.diodes.com/datasheet/download/DMNH6065SSD.pdf")</f>
        <v>https://www.diodes.com/datasheet/download/DMNH6065SSD.pdf</v>
      </c>
      <c r="C852" t="str">
        <f>Hyperlink("https://www.diodes.com/part/view/DMNH6065SSD","DMNH6065SSD")</f>
        <v>DMNH6065SSD</v>
      </c>
      <c r="D852" t="s">
        <v>46</v>
      </c>
      <c r="E852" t="s">
        <v>30</v>
      </c>
      <c r="F852" t="s">
        <v>28</v>
      </c>
      <c r="G852" t="s">
        <v>40</v>
      </c>
      <c r="H852" t="s">
        <v>30</v>
      </c>
      <c r="I852">
        <v>60</v>
      </c>
      <c r="J852">
        <v>20</v>
      </c>
      <c r="K852">
        <v>3.8</v>
      </c>
      <c r="M852">
        <v>1.5</v>
      </c>
      <c r="O852">
        <v>65</v>
      </c>
      <c r="P852">
        <v>88</v>
      </c>
      <c r="T852">
        <v>3</v>
      </c>
      <c r="U852">
        <v>5.6</v>
      </c>
      <c r="V852">
        <v>11.3</v>
      </c>
      <c r="Y852" t="s">
        <v>213</v>
      </c>
    </row>
    <row r="853" spans="1:25">
      <c r="A853" t="s">
        <v>1631</v>
      </c>
      <c r="B853" s="2" t="str">
        <f>Hyperlink("https://www.diodes.com/datasheet/download/DMNH6065SSDQ.pdf")</f>
        <v>https://www.diodes.com/datasheet/download/DMNH6065SSDQ.pdf</v>
      </c>
      <c r="C853" t="str">
        <f>Hyperlink("https://www.diodes.com/part/view/DMNH6065SSDQ","DMNH6065SSDQ")</f>
        <v>DMNH6065SSDQ</v>
      </c>
      <c r="D853" t="s">
        <v>46</v>
      </c>
      <c r="E853" t="s">
        <v>27</v>
      </c>
      <c r="F853" t="s">
        <v>37</v>
      </c>
      <c r="G853" t="s">
        <v>40</v>
      </c>
      <c r="H853" t="s">
        <v>30</v>
      </c>
      <c r="I853">
        <v>60</v>
      </c>
      <c r="J853">
        <v>20</v>
      </c>
      <c r="K853">
        <v>3.8</v>
      </c>
      <c r="M853">
        <v>1.5</v>
      </c>
      <c r="O853">
        <v>65</v>
      </c>
      <c r="P853">
        <v>88</v>
      </c>
      <c r="S853">
        <v>1</v>
      </c>
      <c r="T853">
        <v>3</v>
      </c>
      <c r="U853">
        <v>5.6</v>
      </c>
      <c r="V853">
        <v>11.3</v>
      </c>
      <c r="Y853" t="s">
        <v>213</v>
      </c>
    </row>
    <row r="854" spans="1:25">
      <c r="A854" t="s">
        <v>1632</v>
      </c>
      <c r="B854" s="2" t="str">
        <f>Hyperlink("https://www.diodes.com/datasheet/download/DMNH6069SFVW.pdf")</f>
        <v>https://www.diodes.com/datasheet/download/DMNH6069SFVW.pdf</v>
      </c>
      <c r="C854" t="str">
        <f>Hyperlink("https://www.diodes.com/part/view/DMNH6069SFVW","DMNH6069SFVW")</f>
        <v>DMNH6069SFVW</v>
      </c>
      <c r="D854" t="s">
        <v>1633</v>
      </c>
      <c r="E854" t="s">
        <v>30</v>
      </c>
      <c r="F854" t="s">
        <v>28</v>
      </c>
      <c r="G854" t="s">
        <v>29</v>
      </c>
      <c r="H854" t="s">
        <v>30</v>
      </c>
      <c r="I854">
        <v>60</v>
      </c>
      <c r="J854">
        <v>20</v>
      </c>
      <c r="K854">
        <v>5</v>
      </c>
      <c r="L854">
        <v>18</v>
      </c>
      <c r="M854">
        <v>3</v>
      </c>
      <c r="N854">
        <v>38</v>
      </c>
      <c r="O854">
        <v>50</v>
      </c>
      <c r="P854">
        <v>63</v>
      </c>
      <c r="S854">
        <v>1</v>
      </c>
      <c r="T854">
        <v>3</v>
      </c>
      <c r="U854">
        <v>6.4</v>
      </c>
      <c r="V854">
        <v>14</v>
      </c>
      <c r="W854">
        <v>740</v>
      </c>
      <c r="X854">
        <v>30</v>
      </c>
      <c r="Y854" t="s">
        <v>1109</v>
      </c>
    </row>
    <row r="855" spans="1:25">
      <c r="A855" t="s">
        <v>1634</v>
      </c>
      <c r="B855" s="2" t="str">
        <f>Hyperlink("https://www.diodes.com/datasheet/download/DMNH6069SFVWQ.pdf")</f>
        <v>https://www.diodes.com/datasheet/download/DMNH6069SFVWQ.pdf</v>
      </c>
      <c r="C855" t="str">
        <f>Hyperlink("https://www.diodes.com/part/view/DMNH6069SFVWQ","DMNH6069SFVWQ")</f>
        <v>DMNH6069SFVWQ</v>
      </c>
      <c r="D855" t="s">
        <v>1633</v>
      </c>
      <c r="E855" t="s">
        <v>27</v>
      </c>
      <c r="F855" t="s">
        <v>37</v>
      </c>
      <c r="G855" t="s">
        <v>29</v>
      </c>
      <c r="H855" t="s">
        <v>30</v>
      </c>
      <c r="I855">
        <v>60</v>
      </c>
      <c r="J855">
        <v>20</v>
      </c>
      <c r="K855">
        <v>5</v>
      </c>
      <c r="L855">
        <v>18</v>
      </c>
      <c r="M855">
        <v>3</v>
      </c>
      <c r="N855">
        <v>38</v>
      </c>
      <c r="O855">
        <v>50</v>
      </c>
      <c r="P855">
        <v>63</v>
      </c>
      <c r="S855">
        <v>1</v>
      </c>
      <c r="T855">
        <v>3</v>
      </c>
      <c r="U855">
        <v>6.4</v>
      </c>
      <c r="V855">
        <v>14</v>
      </c>
      <c r="W855">
        <v>740</v>
      </c>
      <c r="X855">
        <v>30</v>
      </c>
      <c r="Y855" t="s">
        <v>1109</v>
      </c>
    </row>
    <row r="856" spans="1:25">
      <c r="A856" t="s">
        <v>1635</v>
      </c>
      <c r="B856" s="2" t="str">
        <f>Hyperlink("https://www.diodes.com/datasheet/download/DMP1005UFDF.pdf")</f>
        <v>https://www.diodes.com/datasheet/download/DMP1005UFDF.pdf</v>
      </c>
      <c r="C856" t="str">
        <f>Hyperlink("https://www.diodes.com/part/view/DMP1005UFDF","DMP1005UFDF")</f>
        <v>DMP1005UFDF</v>
      </c>
      <c r="D856" t="s">
        <v>74</v>
      </c>
      <c r="E856" t="s">
        <v>30</v>
      </c>
      <c r="F856" t="s">
        <v>28</v>
      </c>
      <c r="G856" t="s">
        <v>75</v>
      </c>
      <c r="H856" t="s">
        <v>27</v>
      </c>
      <c r="I856">
        <v>12</v>
      </c>
      <c r="J856">
        <v>8</v>
      </c>
      <c r="K856">
        <v>12.8</v>
      </c>
      <c r="L856">
        <v>26</v>
      </c>
      <c r="M856">
        <v>2.1</v>
      </c>
      <c r="P856">
        <v>8.5</v>
      </c>
      <c r="Q856">
        <v>12</v>
      </c>
      <c r="R856">
        <v>18.5</v>
      </c>
      <c r="S856">
        <v>0.3</v>
      </c>
      <c r="T856">
        <v>1</v>
      </c>
      <c r="U856">
        <v>28</v>
      </c>
      <c r="W856">
        <v>2475</v>
      </c>
      <c r="X856">
        <v>6</v>
      </c>
      <c r="Y856" t="s">
        <v>780</v>
      </c>
    </row>
    <row r="857" spans="1:25">
      <c r="A857" t="s">
        <v>1636</v>
      </c>
      <c r="B857" s="2" t="str">
        <f>Hyperlink("https://www.diodes.com/datasheet/download/DMP1007UCB9.pdf")</f>
        <v>https://www.diodes.com/datasheet/download/DMP1007UCB9.pdf</v>
      </c>
      <c r="C857" t="str">
        <f>Hyperlink("https://www.diodes.com/part/view/DMP1007UCB9","DMP1007UCB9")</f>
        <v>DMP1007UCB9</v>
      </c>
      <c r="D857" t="s">
        <v>74</v>
      </c>
      <c r="E857" t="s">
        <v>30</v>
      </c>
      <c r="F857" t="s">
        <v>28</v>
      </c>
      <c r="G857" t="s">
        <v>75</v>
      </c>
      <c r="H857" t="s">
        <v>27</v>
      </c>
      <c r="I857">
        <v>8</v>
      </c>
      <c r="J857">
        <v>6</v>
      </c>
      <c r="K857">
        <v>13.2</v>
      </c>
      <c r="M857">
        <v>1.53</v>
      </c>
      <c r="P857">
        <v>5.7</v>
      </c>
      <c r="Q857">
        <v>9.1</v>
      </c>
      <c r="S857">
        <v>0.4</v>
      </c>
      <c r="T857">
        <v>1.1</v>
      </c>
      <c r="U857">
        <v>8.2</v>
      </c>
      <c r="W857">
        <v>900</v>
      </c>
      <c r="Y857" t="s">
        <v>1637</v>
      </c>
    </row>
    <row r="858" spans="1:25">
      <c r="A858" t="s">
        <v>1638</v>
      </c>
      <c r="B858" s="2" t="str">
        <f>Hyperlink("https://www.diodes.com/datasheet/download/DMP1008UCA9.pdf")</f>
        <v>https://www.diodes.com/datasheet/download/DMP1008UCA9.pdf</v>
      </c>
      <c r="C858" t="str">
        <f>Hyperlink("https://www.diodes.com/part/view/DMP1008UCA9","DMP1008UCA9")</f>
        <v>DMP1008UCA9</v>
      </c>
      <c r="D858" t="s">
        <v>74</v>
      </c>
      <c r="E858" t="s">
        <v>30</v>
      </c>
      <c r="F858" t="s">
        <v>28</v>
      </c>
      <c r="G858" t="s">
        <v>75</v>
      </c>
      <c r="H858" t="s">
        <v>27</v>
      </c>
      <c r="I858">
        <v>8</v>
      </c>
      <c r="J858">
        <v>6</v>
      </c>
      <c r="K858">
        <v>16</v>
      </c>
      <c r="M858">
        <v>2.2</v>
      </c>
      <c r="P858">
        <v>5.7</v>
      </c>
      <c r="Q858">
        <v>9.1</v>
      </c>
      <c r="S858">
        <v>0.4</v>
      </c>
      <c r="T858">
        <v>1.1</v>
      </c>
      <c r="U858">
        <v>9.5</v>
      </c>
      <c r="W858">
        <v>952</v>
      </c>
      <c r="X858">
        <v>4</v>
      </c>
      <c r="Y858" t="s">
        <v>1639</v>
      </c>
    </row>
    <row r="859" spans="1:25">
      <c r="A859" t="s">
        <v>1640</v>
      </c>
      <c r="B859" s="2" t="str">
        <f>Hyperlink("https://www.diodes.com/datasheet/download/DMP1008UCB9.pdf")</f>
        <v>https://www.diodes.com/datasheet/download/DMP1008UCB9.pdf</v>
      </c>
      <c r="C859" t="str">
        <f>Hyperlink("https://www.diodes.com/part/view/DMP1008UCB9","DMP1008UCB9")</f>
        <v>DMP1008UCB9</v>
      </c>
      <c r="D859" t="s">
        <v>74</v>
      </c>
      <c r="E859" t="s">
        <v>30</v>
      </c>
      <c r="F859" t="s">
        <v>28</v>
      </c>
      <c r="G859" t="s">
        <v>75</v>
      </c>
      <c r="H859" t="s">
        <v>27</v>
      </c>
      <c r="I859">
        <v>8</v>
      </c>
      <c r="J859">
        <v>6</v>
      </c>
      <c r="K859">
        <v>13.2</v>
      </c>
      <c r="M859">
        <v>1.53</v>
      </c>
      <c r="P859">
        <v>5.7</v>
      </c>
      <c r="Q859">
        <v>9.1</v>
      </c>
      <c r="S859">
        <v>0.4</v>
      </c>
      <c r="T859">
        <v>1.1</v>
      </c>
      <c r="U859">
        <v>8.2</v>
      </c>
      <c r="W859">
        <v>900</v>
      </c>
      <c r="X859">
        <v>4</v>
      </c>
      <c r="Y859" t="s">
        <v>1637</v>
      </c>
    </row>
    <row r="860" spans="1:25">
      <c r="A860" t="s">
        <v>1641</v>
      </c>
      <c r="B860" s="2" t="str">
        <f>Hyperlink("https://www.diodes.com/datasheet/download/DMP1009UFDF.pdf")</f>
        <v>https://www.diodes.com/datasheet/download/DMP1009UFDF.pdf</v>
      </c>
      <c r="C860" t="str">
        <f>Hyperlink("https://www.diodes.com/part/view/DMP1009UFDF","DMP1009UFDF")</f>
        <v>DMP1009UFDF</v>
      </c>
      <c r="D860" t="s">
        <v>1642</v>
      </c>
      <c r="E860" t="s">
        <v>30</v>
      </c>
      <c r="F860" t="s">
        <v>28</v>
      </c>
      <c r="G860" t="s">
        <v>75</v>
      </c>
      <c r="H860" t="s">
        <v>30</v>
      </c>
      <c r="I860">
        <v>12</v>
      </c>
      <c r="J860">
        <v>8</v>
      </c>
      <c r="K860">
        <v>11</v>
      </c>
      <c r="M860">
        <v>2</v>
      </c>
      <c r="P860">
        <v>11</v>
      </c>
      <c r="Q860">
        <v>19</v>
      </c>
      <c r="R860">
        <v>30</v>
      </c>
      <c r="S860">
        <v>0.3</v>
      </c>
      <c r="T860">
        <v>1</v>
      </c>
      <c r="U860">
        <v>26</v>
      </c>
      <c r="W860">
        <v>1860</v>
      </c>
      <c r="X860">
        <v>10</v>
      </c>
      <c r="Y860" t="s">
        <v>780</v>
      </c>
    </row>
    <row r="861" spans="1:25">
      <c r="A861" t="s">
        <v>1643</v>
      </c>
      <c r="B861" s="2" t="str">
        <f>Hyperlink("https://www.diodes.com/datasheet/download/DMP1009UFDFQ.pdf")</f>
        <v>https://www.diodes.com/datasheet/download/DMP1009UFDFQ.pdf</v>
      </c>
      <c r="C861" t="str">
        <f>Hyperlink("https://www.diodes.com/part/view/DMP1009UFDFQ","DMP1009UFDFQ")</f>
        <v>DMP1009UFDFQ</v>
      </c>
      <c r="D861" t="s">
        <v>1642</v>
      </c>
      <c r="E861" t="s">
        <v>27</v>
      </c>
      <c r="F861" t="s">
        <v>37</v>
      </c>
      <c r="G861" t="s">
        <v>75</v>
      </c>
      <c r="H861" t="s">
        <v>30</v>
      </c>
      <c r="I861">
        <v>12</v>
      </c>
      <c r="J861">
        <v>8</v>
      </c>
      <c r="K861">
        <v>11</v>
      </c>
      <c r="M861">
        <v>2</v>
      </c>
      <c r="P861">
        <v>11</v>
      </c>
      <c r="Q861">
        <v>19</v>
      </c>
      <c r="R861">
        <v>30</v>
      </c>
      <c r="T861">
        <v>1</v>
      </c>
      <c r="U861">
        <v>26</v>
      </c>
      <c r="W861">
        <v>1860</v>
      </c>
      <c r="X861">
        <v>10</v>
      </c>
      <c r="Y861" t="s">
        <v>780</v>
      </c>
    </row>
    <row r="862" spans="1:25">
      <c r="A862" t="s">
        <v>1644</v>
      </c>
      <c r="B862" s="2" t="str">
        <f>Hyperlink("https://www.diodes.com/datasheet/download/DMP1010UCA4.pdf")</f>
        <v>https://www.diodes.com/datasheet/download/DMP1010UCA4.pdf</v>
      </c>
      <c r="C862" t="str">
        <f>Hyperlink("https://www.diodes.com/part/view/DMP1010UCA4","DMP1010UCA4")</f>
        <v>DMP1010UCA4</v>
      </c>
      <c r="D862" t="s">
        <v>1645</v>
      </c>
      <c r="E862" t="s">
        <v>30</v>
      </c>
      <c r="F862" t="s">
        <v>28</v>
      </c>
      <c r="G862" t="s">
        <v>75</v>
      </c>
      <c r="H862" t="s">
        <v>27</v>
      </c>
      <c r="I862">
        <v>8</v>
      </c>
      <c r="J862">
        <v>6</v>
      </c>
      <c r="K862">
        <v>10</v>
      </c>
      <c r="M862">
        <v>1.75</v>
      </c>
      <c r="P862">
        <v>9.9</v>
      </c>
      <c r="Q862">
        <v>15</v>
      </c>
      <c r="R862">
        <v>40</v>
      </c>
      <c r="S862">
        <v>0.4</v>
      </c>
      <c r="T862">
        <v>1.05</v>
      </c>
      <c r="U862">
        <v>7</v>
      </c>
      <c r="W862">
        <v>699</v>
      </c>
      <c r="X862">
        <v>4</v>
      </c>
      <c r="Y862" t="s">
        <v>1646</v>
      </c>
    </row>
    <row r="863" spans="1:25">
      <c r="A863" t="s">
        <v>1647</v>
      </c>
      <c r="B863" s="2" t="str">
        <f>Hyperlink("https://www.diodes.com/datasheet/download/DMP1011LFV.pdf")</f>
        <v>https://www.diodes.com/datasheet/download/DMP1011LFV.pdf</v>
      </c>
      <c r="C863" t="str">
        <f>Hyperlink("https://www.diodes.com/part/view/DMP1011LFV","DMP1011LFV")</f>
        <v>DMP1011LFV</v>
      </c>
      <c r="D863" t="s">
        <v>74</v>
      </c>
      <c r="E863" t="s">
        <v>27</v>
      </c>
      <c r="F863" t="s">
        <v>28</v>
      </c>
      <c r="G863" t="s">
        <v>75</v>
      </c>
      <c r="H863" t="s">
        <v>27</v>
      </c>
      <c r="I863">
        <v>12</v>
      </c>
      <c r="J863">
        <v>6</v>
      </c>
      <c r="K863">
        <v>13</v>
      </c>
      <c r="L863">
        <v>19</v>
      </c>
      <c r="M863">
        <v>1.05</v>
      </c>
      <c r="N863">
        <v>2.16</v>
      </c>
      <c r="P863">
        <v>11.7</v>
      </c>
      <c r="Q863">
        <v>18.6</v>
      </c>
      <c r="S863">
        <v>0.6</v>
      </c>
      <c r="T863">
        <v>1.2</v>
      </c>
      <c r="U863">
        <v>7.1</v>
      </c>
      <c r="W863">
        <v>913</v>
      </c>
      <c r="X863">
        <v>6</v>
      </c>
      <c r="Y863" t="s">
        <v>783</v>
      </c>
    </row>
    <row r="864" spans="1:25">
      <c r="A864" t="s">
        <v>1648</v>
      </c>
      <c r="B864" s="2" t="str">
        <f>Hyperlink("https://www.diodes.com/datasheet/download/DMP1011LFVQ.pdf")</f>
        <v>https://www.diodes.com/datasheet/download/DMP1011LFVQ.pdf</v>
      </c>
      <c r="C864" t="str">
        <f>Hyperlink("https://www.diodes.com/part/view/DMP1011LFVQ","DMP1011LFVQ")</f>
        <v>DMP1011LFVQ</v>
      </c>
      <c r="D864" t="s">
        <v>74</v>
      </c>
      <c r="E864" t="s">
        <v>27</v>
      </c>
      <c r="F864" t="s">
        <v>37</v>
      </c>
      <c r="G864" t="s">
        <v>75</v>
      </c>
      <c r="H864" t="s">
        <v>27</v>
      </c>
      <c r="I864">
        <v>12</v>
      </c>
      <c r="J864">
        <v>6</v>
      </c>
      <c r="K864">
        <v>13</v>
      </c>
      <c r="L864">
        <v>19</v>
      </c>
      <c r="M864">
        <v>1.05</v>
      </c>
      <c r="N864">
        <v>2.16</v>
      </c>
      <c r="P864">
        <v>11.7</v>
      </c>
      <c r="Q864">
        <v>18.6</v>
      </c>
      <c r="S864">
        <v>0.6</v>
      </c>
      <c r="T864">
        <v>1.2</v>
      </c>
      <c r="U864">
        <v>7.1</v>
      </c>
      <c r="W864">
        <v>913</v>
      </c>
      <c r="X864">
        <v>6</v>
      </c>
      <c r="Y864" t="s">
        <v>783</v>
      </c>
    </row>
    <row r="865" spans="1:25">
      <c r="A865" t="s">
        <v>1649</v>
      </c>
      <c r="B865" s="2" t="str">
        <f>Hyperlink("https://www.diodes.com/datasheet/download/DMP1011UCB9.pdf")</f>
        <v>https://www.diodes.com/datasheet/download/DMP1011UCB9.pdf</v>
      </c>
      <c r="C865" t="str">
        <f>Hyperlink("https://www.diodes.com/part/view/DMP1011UCB9","DMP1011UCB9")</f>
        <v>DMP1011UCB9</v>
      </c>
      <c r="D865" t="s">
        <v>74</v>
      </c>
      <c r="E865" t="s">
        <v>27</v>
      </c>
      <c r="F865" t="s">
        <v>28</v>
      </c>
      <c r="G865" t="s">
        <v>75</v>
      </c>
      <c r="H865" t="s">
        <v>27</v>
      </c>
      <c r="I865">
        <v>8</v>
      </c>
      <c r="J865">
        <v>6</v>
      </c>
      <c r="K865">
        <v>7.4</v>
      </c>
      <c r="M865">
        <v>1.57</v>
      </c>
      <c r="P865">
        <v>10</v>
      </c>
      <c r="Q865">
        <v>14</v>
      </c>
      <c r="S865">
        <v>0.4</v>
      </c>
      <c r="T865">
        <v>1.1</v>
      </c>
      <c r="U865">
        <v>8.1</v>
      </c>
      <c r="W865">
        <v>817</v>
      </c>
      <c r="X865">
        <v>4</v>
      </c>
      <c r="Y865" t="s">
        <v>1650</v>
      </c>
    </row>
    <row r="866" spans="1:25">
      <c r="A866" t="s">
        <v>1651</v>
      </c>
      <c r="B866" s="2" t="str">
        <f>Hyperlink("https://www.diodes.com/datasheet/download/DMP1012UFDF.pdf")</f>
        <v>https://www.diodes.com/datasheet/download/DMP1012UFDF.pdf</v>
      </c>
      <c r="C866" t="str">
        <f>Hyperlink("https://www.diodes.com/part/view/DMP1012UFDF","DMP1012UFDF")</f>
        <v>DMP1012UFDF</v>
      </c>
      <c r="D866" t="s">
        <v>1642</v>
      </c>
      <c r="E866" t="s">
        <v>27</v>
      </c>
      <c r="F866" t="s">
        <v>28</v>
      </c>
      <c r="G866" t="s">
        <v>75</v>
      </c>
      <c r="H866" t="s">
        <v>30</v>
      </c>
      <c r="I866">
        <v>12</v>
      </c>
      <c r="J866">
        <v>8</v>
      </c>
      <c r="K866">
        <v>12.6</v>
      </c>
      <c r="M866">
        <v>2.11</v>
      </c>
      <c r="P866">
        <v>15</v>
      </c>
      <c r="Q866">
        <v>30</v>
      </c>
      <c r="R866">
        <v>40</v>
      </c>
      <c r="S866">
        <v>0.3</v>
      </c>
      <c r="T866">
        <v>0.9</v>
      </c>
      <c r="U866">
        <v>19.5</v>
      </c>
      <c r="W866">
        <v>1344</v>
      </c>
      <c r="X866">
        <v>10</v>
      </c>
      <c r="Y866" t="s">
        <v>780</v>
      </c>
    </row>
    <row r="867" spans="1:25">
      <c r="A867" t="s">
        <v>1652</v>
      </c>
      <c r="B867" s="2" t="str">
        <f>Hyperlink("https://www.diodes.com/datasheet/download/DMP1012USS.pdf")</f>
        <v>https://www.diodes.com/datasheet/download/DMP1012USS.pdf</v>
      </c>
      <c r="C867" t="str">
        <f>Hyperlink("https://www.diodes.com/part/view/DMP1012USS","DMP1012USS")</f>
        <v>DMP1012USS</v>
      </c>
      <c r="D867" t="s">
        <v>1642</v>
      </c>
      <c r="E867" t="s">
        <v>30</v>
      </c>
      <c r="F867" t="s">
        <v>28</v>
      </c>
      <c r="G867" t="s">
        <v>75</v>
      </c>
      <c r="H867" t="s">
        <v>30</v>
      </c>
      <c r="I867">
        <v>12</v>
      </c>
      <c r="J867">
        <v>8</v>
      </c>
      <c r="K867">
        <v>8.5</v>
      </c>
      <c r="M867">
        <v>1.6</v>
      </c>
      <c r="P867">
        <v>15</v>
      </c>
      <c r="Q867">
        <v>30</v>
      </c>
      <c r="R867">
        <v>40</v>
      </c>
      <c r="S867">
        <v>0.4</v>
      </c>
      <c r="T867">
        <v>1</v>
      </c>
      <c r="U867">
        <v>19.5</v>
      </c>
      <c r="W867">
        <v>1344</v>
      </c>
      <c r="X867">
        <v>10</v>
      </c>
      <c r="Y867" t="s">
        <v>213</v>
      </c>
    </row>
    <row r="868" spans="1:25">
      <c r="A868" t="s">
        <v>1653</v>
      </c>
      <c r="B868" s="2" t="str">
        <f>Hyperlink("https://www.diodes.com/datasheet/download/DMP1012USSQ.pdf")</f>
        <v>https://www.diodes.com/datasheet/download/DMP1012USSQ.pdf</v>
      </c>
      <c r="C868" t="str">
        <f>Hyperlink("https://www.diodes.com/part/view/DMP1012USSQ","DMP1012USSQ")</f>
        <v>DMP1012USSQ</v>
      </c>
      <c r="D868" t="s">
        <v>1654</v>
      </c>
      <c r="E868" t="s">
        <v>27</v>
      </c>
      <c r="F868" t="s">
        <v>37</v>
      </c>
      <c r="G868" t="s">
        <v>75</v>
      </c>
      <c r="H868" t="s">
        <v>30</v>
      </c>
      <c r="I868">
        <v>12</v>
      </c>
      <c r="J868">
        <v>8</v>
      </c>
      <c r="K868">
        <v>8.5</v>
      </c>
      <c r="M868">
        <v>1.6</v>
      </c>
      <c r="P868">
        <v>13.5</v>
      </c>
      <c r="Q868">
        <v>18.5</v>
      </c>
      <c r="S868">
        <v>0.4</v>
      </c>
      <c r="T868">
        <v>1</v>
      </c>
      <c r="U868">
        <v>19.5</v>
      </c>
      <c r="V868" t="s">
        <v>1655</v>
      </c>
      <c r="W868">
        <v>1344</v>
      </c>
      <c r="X868">
        <v>10</v>
      </c>
      <c r="Y868" t="s">
        <v>213</v>
      </c>
    </row>
    <row r="869" spans="1:25">
      <c r="A869" t="s">
        <v>1656</v>
      </c>
      <c r="B869" s="2" t="str">
        <f>Hyperlink("https://www.diodes.com/datasheet/download/DMP1022UFDEQ+.pdf")</f>
        <v>https://www.diodes.com/datasheet/download/DMP1022UFDEQ+.pdf</v>
      </c>
      <c r="C869" t="str">
        <f>Hyperlink("https://www.diodes.com/part/view/DMP1022UFDEQ","DMP1022UFDEQ")</f>
        <v>DMP1022UFDEQ</v>
      </c>
      <c r="D869" t="s">
        <v>1642</v>
      </c>
      <c r="E869" t="s">
        <v>27</v>
      </c>
      <c r="F869" t="s">
        <v>37</v>
      </c>
      <c r="G869" t="s">
        <v>75</v>
      </c>
      <c r="H869" t="s">
        <v>27</v>
      </c>
      <c r="I869">
        <v>12</v>
      </c>
      <c r="J869">
        <v>8</v>
      </c>
      <c r="K869">
        <v>9.1</v>
      </c>
      <c r="M869">
        <v>2.03</v>
      </c>
      <c r="P869">
        <v>16</v>
      </c>
      <c r="Q869">
        <v>21.5</v>
      </c>
      <c r="R869">
        <v>26</v>
      </c>
      <c r="T869">
        <v>0.8</v>
      </c>
      <c r="U869">
        <v>25.3</v>
      </c>
      <c r="W869">
        <v>2953</v>
      </c>
      <c r="X869">
        <v>4</v>
      </c>
      <c r="Y869" t="s">
        <v>778</v>
      </c>
    </row>
    <row r="870" spans="1:25">
      <c r="A870" t="s">
        <v>1657</v>
      </c>
      <c r="B870" s="2" t="str">
        <f>Hyperlink("https://www.diodes.com/datasheet/download/DMP1022UFDF.pdf")</f>
        <v>https://www.diodes.com/datasheet/download/DMP1022UFDF.pdf</v>
      </c>
      <c r="C870" t="str">
        <f>Hyperlink("https://www.diodes.com/part/view/DMP1022UFDF","DMP1022UFDF")</f>
        <v>DMP1022UFDF</v>
      </c>
      <c r="D870" t="s">
        <v>74</v>
      </c>
      <c r="E870" t="s">
        <v>27</v>
      </c>
      <c r="F870" t="s">
        <v>28</v>
      </c>
      <c r="G870" t="s">
        <v>75</v>
      </c>
      <c r="H870" t="s">
        <v>27</v>
      </c>
      <c r="I870">
        <v>12</v>
      </c>
      <c r="J870">
        <v>8</v>
      </c>
      <c r="K870">
        <v>9.5</v>
      </c>
      <c r="M870">
        <v>2.1</v>
      </c>
      <c r="P870">
        <v>14.8</v>
      </c>
      <c r="Q870">
        <v>19</v>
      </c>
      <c r="R870">
        <v>26</v>
      </c>
      <c r="S870">
        <v>0.35</v>
      </c>
      <c r="T870">
        <v>0.8</v>
      </c>
      <c r="U870">
        <v>28.6</v>
      </c>
      <c r="W870">
        <v>2712</v>
      </c>
      <c r="X870">
        <v>10</v>
      </c>
      <c r="Y870" t="s">
        <v>780</v>
      </c>
    </row>
    <row r="871" spans="1:25">
      <c r="A871" t="s">
        <v>1658</v>
      </c>
      <c r="B871" s="2" t="str">
        <f>Hyperlink("https://www.diodes.com/datasheet/download/DMP1022UWS.pdf")</f>
        <v>https://www.diodes.com/datasheet/download/DMP1022UWS.pdf</v>
      </c>
      <c r="C871" t="str">
        <f>Hyperlink("https://www.diodes.com/part/view/DMP1022UWS","DMP1022UWS")</f>
        <v>DMP1022UWS</v>
      </c>
      <c r="D871" t="s">
        <v>74</v>
      </c>
      <c r="E871" t="s">
        <v>30</v>
      </c>
      <c r="F871" t="s">
        <v>28</v>
      </c>
      <c r="G871" t="s">
        <v>75</v>
      </c>
      <c r="H871" t="s">
        <v>27</v>
      </c>
      <c r="I871">
        <v>12</v>
      </c>
      <c r="J871">
        <v>8</v>
      </c>
      <c r="K871">
        <v>7.2</v>
      </c>
      <c r="M871">
        <v>1.4</v>
      </c>
      <c r="P871">
        <v>18</v>
      </c>
      <c r="Q871">
        <v>22</v>
      </c>
      <c r="R871">
        <v>28</v>
      </c>
      <c r="S871">
        <v>0.35</v>
      </c>
      <c r="T871">
        <v>1</v>
      </c>
      <c r="U871">
        <v>27</v>
      </c>
      <c r="W871">
        <v>2847</v>
      </c>
      <c r="X871">
        <v>4</v>
      </c>
      <c r="Y871" t="s">
        <v>1659</v>
      </c>
    </row>
    <row r="872" spans="1:25">
      <c r="A872" t="s">
        <v>1660</v>
      </c>
      <c r="B872" s="2" t="str">
        <f>Hyperlink("https://www.diodes.com/datasheet/download/DMP1045U.pdf")</f>
        <v>https://www.diodes.com/datasheet/download/DMP1045U.pdf</v>
      </c>
      <c r="C872" t="str">
        <f>Hyperlink("https://www.diodes.com/part/view/DMP1045U","DMP1045U")</f>
        <v>DMP1045U</v>
      </c>
      <c r="D872" t="s">
        <v>74</v>
      </c>
      <c r="E872" t="s">
        <v>27</v>
      </c>
      <c r="F872" t="s">
        <v>28</v>
      </c>
      <c r="G872" t="s">
        <v>75</v>
      </c>
      <c r="H872" t="s">
        <v>27</v>
      </c>
      <c r="I872">
        <v>12</v>
      </c>
      <c r="J872">
        <v>8</v>
      </c>
      <c r="K872">
        <v>5.2</v>
      </c>
      <c r="M872">
        <v>1.3</v>
      </c>
      <c r="P872">
        <v>31</v>
      </c>
      <c r="Q872">
        <v>45</v>
      </c>
      <c r="R872">
        <v>75</v>
      </c>
      <c r="S872">
        <v>0.3</v>
      </c>
      <c r="T872">
        <v>1</v>
      </c>
      <c r="U872">
        <v>15.8</v>
      </c>
      <c r="W872">
        <v>1357</v>
      </c>
      <c r="X872">
        <v>10</v>
      </c>
      <c r="Y872" t="s">
        <v>35</v>
      </c>
    </row>
    <row r="873" spans="1:25">
      <c r="A873" t="s">
        <v>1661</v>
      </c>
      <c r="B873" s="2" t="str">
        <f>Hyperlink("https://www.diodes.com/datasheet/download/DMP1045UCB4.pdf")</f>
        <v>https://www.diodes.com/datasheet/download/DMP1045UCB4.pdf</v>
      </c>
      <c r="C873" t="str">
        <f>Hyperlink("https://www.diodes.com/part/view/DMP1045UCB4","DMP1045UCB4")</f>
        <v>DMP1045UCB4</v>
      </c>
      <c r="D873" t="s">
        <v>74</v>
      </c>
      <c r="E873" t="s">
        <v>30</v>
      </c>
      <c r="F873" t="s">
        <v>28</v>
      </c>
      <c r="G873" t="s">
        <v>75</v>
      </c>
      <c r="H873" t="s">
        <v>27</v>
      </c>
      <c r="I873">
        <v>12</v>
      </c>
      <c r="J873">
        <v>8</v>
      </c>
      <c r="K873">
        <v>4.8</v>
      </c>
      <c r="M873">
        <v>1.75</v>
      </c>
      <c r="P873">
        <v>50</v>
      </c>
      <c r="Q873">
        <v>65</v>
      </c>
      <c r="R873">
        <v>100</v>
      </c>
      <c r="S873">
        <v>0.3</v>
      </c>
      <c r="T873">
        <v>1</v>
      </c>
      <c r="U873">
        <v>6.1</v>
      </c>
      <c r="W873">
        <v>535</v>
      </c>
      <c r="X873">
        <v>6</v>
      </c>
      <c r="Y873" t="s">
        <v>1662</v>
      </c>
    </row>
    <row r="874" spans="1:25">
      <c r="A874" t="s">
        <v>1663</v>
      </c>
      <c r="B874" s="2" t="str">
        <f>Hyperlink("https://www.diodes.com/datasheet/download/DMP1045UFY4.pdf")</f>
        <v>https://www.diodes.com/datasheet/download/DMP1045UFY4.pdf</v>
      </c>
      <c r="C874" t="str">
        <f>Hyperlink("https://www.diodes.com/part/view/DMP1045UFY4","DMP1045UFY4")</f>
        <v>DMP1045UFY4</v>
      </c>
      <c r="D874" t="s">
        <v>74</v>
      </c>
      <c r="E874" t="s">
        <v>27</v>
      </c>
      <c r="F874" t="s">
        <v>28</v>
      </c>
      <c r="G874" t="s">
        <v>75</v>
      </c>
      <c r="H874" t="s">
        <v>27</v>
      </c>
      <c r="I874">
        <v>12</v>
      </c>
      <c r="J874">
        <v>8</v>
      </c>
      <c r="K874">
        <v>5.5</v>
      </c>
      <c r="M874">
        <v>1.7</v>
      </c>
      <c r="P874">
        <v>32</v>
      </c>
      <c r="Q874">
        <v>45</v>
      </c>
      <c r="R874">
        <v>75</v>
      </c>
      <c r="S874">
        <v>0.3</v>
      </c>
      <c r="T874">
        <v>1</v>
      </c>
      <c r="U874">
        <v>14.7</v>
      </c>
      <c r="W874">
        <v>1291</v>
      </c>
      <c r="X874">
        <v>10</v>
      </c>
      <c r="Y874" t="s">
        <v>673</v>
      </c>
    </row>
    <row r="875" spans="1:25">
      <c r="A875" t="s">
        <v>1664</v>
      </c>
      <c r="B875" s="2" t="str">
        <f>Hyperlink("https://www.diodes.com/datasheet/download/DMP1045UQ.pdf")</f>
        <v>https://www.diodes.com/datasheet/download/DMP1045UQ.pdf</v>
      </c>
      <c r="C875" t="str">
        <f>Hyperlink("https://www.diodes.com/part/view/DMP1045UQ","DMP1045UQ")</f>
        <v>DMP1045UQ</v>
      </c>
      <c r="D875" t="s">
        <v>74</v>
      </c>
      <c r="E875" t="s">
        <v>27</v>
      </c>
      <c r="F875" t="s">
        <v>37</v>
      </c>
      <c r="G875" t="s">
        <v>75</v>
      </c>
      <c r="H875" t="s">
        <v>27</v>
      </c>
      <c r="I875">
        <v>12</v>
      </c>
      <c r="J875">
        <v>8</v>
      </c>
      <c r="K875">
        <v>5.2</v>
      </c>
      <c r="M875">
        <v>1.3</v>
      </c>
      <c r="P875">
        <v>31</v>
      </c>
      <c r="Q875">
        <v>45</v>
      </c>
      <c r="R875">
        <v>75</v>
      </c>
      <c r="S875">
        <v>0.3</v>
      </c>
      <c r="T875">
        <v>1</v>
      </c>
      <c r="U875">
        <v>15.8</v>
      </c>
      <c r="W875">
        <v>1357</v>
      </c>
      <c r="X875">
        <v>10</v>
      </c>
      <c r="Y875" t="s">
        <v>35</v>
      </c>
    </row>
    <row r="876" spans="1:25">
      <c r="A876" t="s">
        <v>1665</v>
      </c>
      <c r="B876" s="2" t="str">
        <f>Hyperlink("https://www.diodes.com/datasheet/download/DMP1046UFDB.pdf")</f>
        <v>https://www.diodes.com/datasheet/download/DMP1046UFDB.pdf</v>
      </c>
      <c r="C876" t="str">
        <f>Hyperlink("https://www.diodes.com/part/view/DMP1046UFDB","DMP1046UFDB")</f>
        <v>DMP1046UFDB</v>
      </c>
      <c r="D876" t="s">
        <v>127</v>
      </c>
      <c r="E876" t="s">
        <v>30</v>
      </c>
      <c r="F876" t="s">
        <v>28</v>
      </c>
      <c r="G876" t="s">
        <v>124</v>
      </c>
      <c r="H876" t="s">
        <v>30</v>
      </c>
      <c r="I876">
        <v>12</v>
      </c>
      <c r="J876">
        <v>8</v>
      </c>
      <c r="K876">
        <v>3.8</v>
      </c>
      <c r="M876">
        <v>1.4</v>
      </c>
      <c r="P876">
        <v>61</v>
      </c>
      <c r="Q876">
        <v>81</v>
      </c>
      <c r="R876">
        <v>115</v>
      </c>
      <c r="S876">
        <v>0.4</v>
      </c>
      <c r="T876">
        <v>1</v>
      </c>
      <c r="U876">
        <v>10.7</v>
      </c>
      <c r="V876" t="s">
        <v>1666</v>
      </c>
      <c r="W876">
        <v>915</v>
      </c>
      <c r="X876">
        <v>6</v>
      </c>
      <c r="Y876" t="s">
        <v>179</v>
      </c>
    </row>
    <row r="877" spans="1:25">
      <c r="A877" t="s">
        <v>1667</v>
      </c>
      <c r="B877" s="2" t="str">
        <f>Hyperlink("https://www.diodes.com/datasheet/download/DMP1055UFDB.pdf")</f>
        <v>https://www.diodes.com/datasheet/download/DMP1055UFDB.pdf</v>
      </c>
      <c r="C877" t="str">
        <f>Hyperlink("https://www.diodes.com/part/view/DMP1055UFDB","DMP1055UFDB")</f>
        <v>DMP1055UFDB</v>
      </c>
      <c r="D877" t="s">
        <v>123</v>
      </c>
      <c r="E877" t="s">
        <v>27</v>
      </c>
      <c r="F877" t="s">
        <v>28</v>
      </c>
      <c r="G877" t="s">
        <v>124</v>
      </c>
      <c r="H877" t="s">
        <v>27</v>
      </c>
      <c r="I877">
        <v>12</v>
      </c>
      <c r="J877">
        <v>8</v>
      </c>
      <c r="K877">
        <v>3.9</v>
      </c>
      <c r="M877">
        <v>1.4</v>
      </c>
      <c r="P877">
        <v>59</v>
      </c>
      <c r="Q877">
        <v>81</v>
      </c>
      <c r="R877">
        <v>115</v>
      </c>
      <c r="S877">
        <v>0.4</v>
      </c>
      <c r="T877">
        <v>1</v>
      </c>
      <c r="U877">
        <v>13</v>
      </c>
      <c r="V877" t="s">
        <v>1668</v>
      </c>
      <c r="W877">
        <v>1028</v>
      </c>
      <c r="X877">
        <v>6</v>
      </c>
      <c r="Y877" t="s">
        <v>179</v>
      </c>
    </row>
    <row r="878" spans="1:25">
      <c r="A878" t="s">
        <v>1669</v>
      </c>
      <c r="B878" s="2" t="str">
        <f>Hyperlink("https://www.diodes.com/datasheet/download/DMP1055USW.pdf")</f>
        <v>https://www.diodes.com/datasheet/download/DMP1055USW.pdf</v>
      </c>
      <c r="C878" t="str">
        <f>Hyperlink("https://www.diodes.com/part/view/DMP1055USW","DMP1055USW")</f>
        <v>DMP1055USW</v>
      </c>
      <c r="D878" t="s">
        <v>74</v>
      </c>
      <c r="E878" t="s">
        <v>30</v>
      </c>
      <c r="F878" t="s">
        <v>28</v>
      </c>
      <c r="G878" t="s">
        <v>75</v>
      </c>
      <c r="H878" t="s">
        <v>27</v>
      </c>
      <c r="I878">
        <v>12</v>
      </c>
      <c r="J878">
        <v>8</v>
      </c>
      <c r="K878">
        <v>3.8</v>
      </c>
      <c r="M878">
        <v>1.03</v>
      </c>
      <c r="P878">
        <v>48</v>
      </c>
      <c r="Q878">
        <v>59</v>
      </c>
      <c r="R878">
        <v>80</v>
      </c>
      <c r="S878">
        <v>0.4</v>
      </c>
      <c r="T878">
        <v>1</v>
      </c>
      <c r="U878">
        <v>13</v>
      </c>
      <c r="W878">
        <v>1028</v>
      </c>
      <c r="X878">
        <v>6</v>
      </c>
      <c r="Y878" t="s">
        <v>42</v>
      </c>
    </row>
    <row r="879" spans="1:25">
      <c r="A879" t="s">
        <v>1670</v>
      </c>
      <c r="B879" s="2" t="str">
        <f>Hyperlink("https://www.diodes.com/datasheet/download/DMP1070U.pdf")</f>
        <v>https://www.diodes.com/datasheet/download/DMP1070U.pdf</v>
      </c>
      <c r="C879" t="str">
        <f>Hyperlink("https://www.diodes.com/part/view/DMP1070U","DMP1070U")</f>
        <v>DMP1070U</v>
      </c>
      <c r="D879" t="s">
        <v>1645</v>
      </c>
      <c r="E879" t="s">
        <v>30</v>
      </c>
      <c r="F879" t="s">
        <v>28</v>
      </c>
      <c r="G879" t="s">
        <v>75</v>
      </c>
      <c r="H879" t="s">
        <v>27</v>
      </c>
      <c r="I879">
        <v>12</v>
      </c>
      <c r="J879">
        <v>8</v>
      </c>
      <c r="K879">
        <v>5.4</v>
      </c>
      <c r="M879">
        <v>1.4</v>
      </c>
      <c r="P879">
        <v>31</v>
      </c>
      <c r="Q879">
        <v>45</v>
      </c>
      <c r="R879">
        <v>75</v>
      </c>
      <c r="S879">
        <v>0.3</v>
      </c>
      <c r="T879">
        <v>1</v>
      </c>
      <c r="U879">
        <v>11.5</v>
      </c>
      <c r="W879">
        <v>143</v>
      </c>
      <c r="X879">
        <v>10</v>
      </c>
      <c r="Y879" t="s">
        <v>35</v>
      </c>
    </row>
    <row r="880" spans="1:25">
      <c r="A880" t="s">
        <v>1671</v>
      </c>
      <c r="B880" s="2" t="str">
        <f>Hyperlink("https://www.diodes.com/datasheet/download/DMP1070UCA3.pdf")</f>
        <v>https://www.diodes.com/datasheet/download/DMP1070UCA3.pdf</v>
      </c>
      <c r="C880" t="str">
        <f>Hyperlink("https://www.diodes.com/part/view/DMP1070UCA3","DMP1070UCA3")</f>
        <v>DMP1070UCA3</v>
      </c>
      <c r="D880" t="s">
        <v>74</v>
      </c>
      <c r="E880" t="s">
        <v>30</v>
      </c>
      <c r="F880" t="s">
        <v>28</v>
      </c>
      <c r="G880" t="s">
        <v>75</v>
      </c>
      <c r="H880" t="s">
        <v>27</v>
      </c>
      <c r="I880">
        <v>12</v>
      </c>
      <c r="J880">
        <v>6</v>
      </c>
      <c r="K880">
        <v>3.6</v>
      </c>
      <c r="M880">
        <v>1.36</v>
      </c>
      <c r="P880">
        <v>70</v>
      </c>
      <c r="Q880">
        <v>100</v>
      </c>
      <c r="R880">
        <v>150</v>
      </c>
      <c r="S880">
        <v>0.4</v>
      </c>
      <c r="T880">
        <v>0.95</v>
      </c>
      <c r="U880">
        <v>1.45</v>
      </c>
      <c r="W880">
        <v>147</v>
      </c>
      <c r="X880">
        <v>6</v>
      </c>
      <c r="Y880" t="s">
        <v>1672</v>
      </c>
    </row>
    <row r="881" spans="1:25">
      <c r="A881" t="s">
        <v>1673</v>
      </c>
      <c r="B881" s="2" t="str">
        <f>Hyperlink("https://www.diodes.com/datasheet/download/DMP1070UFY4.pdf")</f>
        <v>https://www.diodes.com/datasheet/download/DMP1070UFY4.pdf</v>
      </c>
      <c r="C881" t="str">
        <f>Hyperlink("https://www.diodes.com/part/view/DMP1070UFY4","DMP1070UFY4")</f>
        <v>DMP1070UFY4</v>
      </c>
      <c r="D881" t="s">
        <v>1645</v>
      </c>
      <c r="E881" t="s">
        <v>30</v>
      </c>
      <c r="F881" t="s">
        <v>28</v>
      </c>
      <c r="G881" t="s">
        <v>75</v>
      </c>
      <c r="H881" t="s">
        <v>27</v>
      </c>
      <c r="I881">
        <v>12</v>
      </c>
      <c r="J881">
        <v>8</v>
      </c>
      <c r="K881">
        <v>5</v>
      </c>
      <c r="M881">
        <v>1.9</v>
      </c>
      <c r="P881">
        <v>48</v>
      </c>
      <c r="Q881">
        <v>60</v>
      </c>
      <c r="R881">
        <v>90</v>
      </c>
      <c r="S881">
        <v>0.2</v>
      </c>
      <c r="T881">
        <v>1</v>
      </c>
      <c r="U881">
        <v>11.7</v>
      </c>
      <c r="W881">
        <v>929</v>
      </c>
      <c r="X881">
        <v>10</v>
      </c>
      <c r="Y881" t="s">
        <v>673</v>
      </c>
    </row>
    <row r="882" spans="1:25">
      <c r="A882" t="s">
        <v>1674</v>
      </c>
      <c r="B882" s="2" t="str">
        <f>Hyperlink("https://www.diodes.com/datasheet/download/DMP1070UFY4Q.pdf")</f>
        <v>https://www.diodes.com/datasheet/download/DMP1070UFY4Q.pdf</v>
      </c>
      <c r="C882" t="str">
        <f>Hyperlink("https://www.diodes.com/part/view/DMP1070UFY4Q","DMP1070UFY4Q")</f>
        <v>DMP1070UFY4Q</v>
      </c>
      <c r="D882" t="s">
        <v>1645</v>
      </c>
      <c r="E882" t="s">
        <v>27</v>
      </c>
      <c r="F882" t="s">
        <v>37</v>
      </c>
      <c r="G882" t="s">
        <v>75</v>
      </c>
      <c r="H882" t="s">
        <v>27</v>
      </c>
      <c r="I882">
        <v>12</v>
      </c>
      <c r="J882">
        <v>8</v>
      </c>
      <c r="K882">
        <v>5</v>
      </c>
      <c r="M882">
        <v>1.9</v>
      </c>
      <c r="P882">
        <v>48</v>
      </c>
      <c r="Q882">
        <v>60</v>
      </c>
      <c r="R882">
        <v>90</v>
      </c>
      <c r="S882">
        <v>0.2</v>
      </c>
      <c r="T882">
        <v>1</v>
      </c>
      <c r="U882">
        <v>11.7</v>
      </c>
      <c r="W882">
        <v>929</v>
      </c>
      <c r="X882">
        <v>10</v>
      </c>
      <c r="Y882" t="s">
        <v>673</v>
      </c>
    </row>
    <row r="883" spans="1:25">
      <c r="A883" t="s">
        <v>1675</v>
      </c>
      <c r="B883" s="2" t="str">
        <f>Hyperlink("https://www.diodes.com/datasheet/download/DMP1070UQ.pdf")</f>
        <v>https://www.diodes.com/datasheet/download/DMP1070UQ.pdf</v>
      </c>
      <c r="C883" t="str">
        <f>Hyperlink("https://www.diodes.com/part/view/DMP1070UQ","DMP1070UQ")</f>
        <v>DMP1070UQ</v>
      </c>
      <c r="D883" t="s">
        <v>1645</v>
      </c>
      <c r="E883" t="s">
        <v>27</v>
      </c>
      <c r="F883" t="s">
        <v>37</v>
      </c>
      <c r="G883" t="s">
        <v>75</v>
      </c>
      <c r="H883" t="s">
        <v>27</v>
      </c>
      <c r="I883">
        <v>12</v>
      </c>
      <c r="J883">
        <v>8</v>
      </c>
      <c r="K883">
        <v>5.4</v>
      </c>
      <c r="M883">
        <v>1.4</v>
      </c>
      <c r="P883">
        <v>31</v>
      </c>
      <c r="Q883">
        <v>45</v>
      </c>
      <c r="R883">
        <v>75</v>
      </c>
      <c r="S883">
        <v>0.3</v>
      </c>
      <c r="T883">
        <v>1</v>
      </c>
      <c r="U883">
        <v>11.5</v>
      </c>
      <c r="W883">
        <v>143</v>
      </c>
      <c r="X883">
        <v>10</v>
      </c>
      <c r="Y883" t="s">
        <v>35</v>
      </c>
    </row>
    <row r="884" spans="1:25">
      <c r="A884" t="s">
        <v>1676</v>
      </c>
      <c r="B884" s="2" t="str">
        <f>Hyperlink("https://www.diodes.com/datasheet/download/DMP10H088SPS.pdf")</f>
        <v>https://www.diodes.com/datasheet/download/DMP10H088SPS.pdf</v>
      </c>
      <c r="C884" t="str">
        <f>Hyperlink("https://www.diodes.com/part/view/DMP10H088SPS","DMP10H088SPS")</f>
        <v>DMP10H088SPS</v>
      </c>
      <c r="D884" t="s">
        <v>1677</v>
      </c>
      <c r="E884" t="s">
        <v>30</v>
      </c>
      <c r="F884" t="s">
        <v>28</v>
      </c>
      <c r="G884" t="s">
        <v>75</v>
      </c>
      <c r="H884" t="s">
        <v>30</v>
      </c>
      <c r="I884">
        <v>100</v>
      </c>
      <c r="J884">
        <v>25</v>
      </c>
      <c r="L884">
        <v>20</v>
      </c>
      <c r="M884">
        <v>2.2</v>
      </c>
      <c r="N884">
        <v>70</v>
      </c>
      <c r="O884">
        <v>83</v>
      </c>
      <c r="S884">
        <v>2</v>
      </c>
      <c r="T884">
        <v>4</v>
      </c>
      <c r="U884">
        <v>13.6</v>
      </c>
      <c r="V884">
        <v>27.7</v>
      </c>
      <c r="W884">
        <v>1808</v>
      </c>
      <c r="X884">
        <v>50</v>
      </c>
      <c r="Y884" t="s">
        <v>907</v>
      </c>
    </row>
    <row r="885" spans="1:25">
      <c r="A885" t="s">
        <v>1678</v>
      </c>
      <c r="B885" s="2" t="str">
        <f>Hyperlink("https://www.diodes.com/datasheet/download/DMP10H400SE.pdf")</f>
        <v>https://www.diodes.com/datasheet/download/DMP10H400SE.pdf</v>
      </c>
      <c r="C885" t="str">
        <f>Hyperlink("https://www.diodes.com/part/view/DMP10H400SE","DMP10H400SE")</f>
        <v>DMP10H400SE</v>
      </c>
      <c r="D885" t="s">
        <v>74</v>
      </c>
      <c r="E885" t="s">
        <v>27</v>
      </c>
      <c r="F885" t="s">
        <v>28</v>
      </c>
      <c r="G885" t="s">
        <v>75</v>
      </c>
      <c r="H885" t="s">
        <v>30</v>
      </c>
      <c r="I885">
        <v>100</v>
      </c>
      <c r="J885">
        <v>20</v>
      </c>
      <c r="K885">
        <v>2.3</v>
      </c>
      <c r="M885">
        <v>2</v>
      </c>
      <c r="O885">
        <v>250</v>
      </c>
      <c r="P885">
        <v>300</v>
      </c>
      <c r="T885">
        <v>3</v>
      </c>
      <c r="U885">
        <v>8.4</v>
      </c>
      <c r="V885">
        <v>17.5</v>
      </c>
      <c r="W885" t="s">
        <v>1679</v>
      </c>
      <c r="X885">
        <v>25</v>
      </c>
      <c r="Y885" t="s">
        <v>820</v>
      </c>
    </row>
    <row r="886" spans="1:25">
      <c r="A886" t="s">
        <v>1680</v>
      </c>
      <c r="B886" s="2" t="str">
        <f>Hyperlink("https://www.diodes.com/datasheet/download/DMP10H400SEQ.pdf")</f>
        <v>https://www.diodes.com/datasheet/download/DMP10H400SEQ.pdf</v>
      </c>
      <c r="C886" t="str">
        <f>Hyperlink("https://www.diodes.com/part/view/DMP10H400SEQ","DMP10H400SEQ")</f>
        <v>DMP10H400SEQ</v>
      </c>
      <c r="D886" t="s">
        <v>1677</v>
      </c>
      <c r="E886" t="s">
        <v>27</v>
      </c>
      <c r="F886" t="s">
        <v>37</v>
      </c>
      <c r="G886" t="s">
        <v>75</v>
      </c>
      <c r="H886" t="s">
        <v>30</v>
      </c>
      <c r="I886">
        <v>100</v>
      </c>
      <c r="J886">
        <v>20</v>
      </c>
      <c r="K886">
        <v>2.3</v>
      </c>
      <c r="M886">
        <v>2</v>
      </c>
      <c r="O886">
        <v>250</v>
      </c>
      <c r="P886">
        <v>300</v>
      </c>
      <c r="T886">
        <v>3</v>
      </c>
      <c r="U886">
        <v>8.4</v>
      </c>
      <c r="V886">
        <v>17.5</v>
      </c>
      <c r="W886">
        <v>1239</v>
      </c>
      <c r="X886">
        <v>25</v>
      </c>
      <c r="Y886" t="s">
        <v>820</v>
      </c>
    </row>
    <row r="887" spans="1:25">
      <c r="A887" t="s">
        <v>1681</v>
      </c>
      <c r="B887" s="2" t="str">
        <f>Hyperlink("https://www.diodes.com/datasheet/download/DMP10H400SK3.pdf")</f>
        <v>https://www.diodes.com/datasheet/download/DMP10H400SK3.pdf</v>
      </c>
      <c r="C887" t="str">
        <f>Hyperlink("https://www.diodes.com/part/view/DMP10H400SK3","DMP10H400SK3")</f>
        <v>DMP10H400SK3</v>
      </c>
      <c r="D887" t="s">
        <v>74</v>
      </c>
      <c r="E887" t="s">
        <v>27</v>
      </c>
      <c r="F887" t="s">
        <v>28</v>
      </c>
      <c r="G887" t="s">
        <v>75</v>
      </c>
      <c r="H887" t="s">
        <v>30</v>
      </c>
      <c r="I887">
        <v>100</v>
      </c>
      <c r="J887">
        <v>20</v>
      </c>
      <c r="L887">
        <v>9</v>
      </c>
      <c r="N887">
        <v>42</v>
      </c>
      <c r="O887">
        <v>240</v>
      </c>
      <c r="P887">
        <v>300</v>
      </c>
      <c r="T887">
        <v>3</v>
      </c>
      <c r="U887">
        <v>8.4</v>
      </c>
      <c r="V887">
        <v>17.5</v>
      </c>
      <c r="W887">
        <v>1239</v>
      </c>
      <c r="X887">
        <v>25</v>
      </c>
      <c r="Y887" t="s">
        <v>681</v>
      </c>
    </row>
    <row r="888" spans="1:25">
      <c r="A888" t="s">
        <v>1682</v>
      </c>
      <c r="B888" s="2" t="str">
        <f>Hyperlink("https://www.diodes.com/datasheet/download/DMP10H4D2S.pdf")</f>
        <v>https://www.diodes.com/datasheet/download/DMP10H4D2S.pdf</v>
      </c>
      <c r="C888" t="str">
        <f>Hyperlink("https://www.diodes.com/part/view/DMP10H4D2S","DMP10H4D2S")</f>
        <v>DMP10H4D2S</v>
      </c>
      <c r="D888" t="s">
        <v>74</v>
      </c>
      <c r="E888" t="s">
        <v>27</v>
      </c>
      <c r="F888" t="s">
        <v>28</v>
      </c>
      <c r="G888" t="s">
        <v>75</v>
      </c>
      <c r="H888" t="s">
        <v>27</v>
      </c>
      <c r="I888">
        <v>100</v>
      </c>
      <c r="J888">
        <v>20</v>
      </c>
      <c r="K888">
        <v>0.27</v>
      </c>
      <c r="M888">
        <v>0.44</v>
      </c>
      <c r="O888">
        <v>4200</v>
      </c>
      <c r="P888" t="s">
        <v>1683</v>
      </c>
      <c r="T888">
        <v>3</v>
      </c>
      <c r="V888">
        <v>1.8</v>
      </c>
      <c r="W888">
        <v>87</v>
      </c>
      <c r="X888">
        <v>25</v>
      </c>
      <c r="Y888" t="s">
        <v>35</v>
      </c>
    </row>
    <row r="889" spans="1:25">
      <c r="A889" t="s">
        <v>1684</v>
      </c>
      <c r="B889" s="2" t="str">
        <f>Hyperlink("https://www.diodes.com/datasheet/download/DMP10H4D2SQ.pdf")</f>
        <v>https://www.diodes.com/datasheet/download/DMP10H4D2SQ.pdf</v>
      </c>
      <c r="C889" t="str">
        <f>Hyperlink("https://www.diodes.com/part/view/DMP10H4D2SQ","DMP10H4D2SQ")</f>
        <v>DMP10H4D2SQ</v>
      </c>
      <c r="D889" t="s">
        <v>1399</v>
      </c>
      <c r="E889" t="s">
        <v>27</v>
      </c>
      <c r="F889" t="s">
        <v>37</v>
      </c>
      <c r="G889" t="s">
        <v>75</v>
      </c>
      <c r="H889" t="s">
        <v>27</v>
      </c>
      <c r="I889">
        <v>100</v>
      </c>
      <c r="J889">
        <v>20</v>
      </c>
      <c r="K889">
        <v>0.27</v>
      </c>
      <c r="M889">
        <v>0.44</v>
      </c>
      <c r="O889">
        <v>4200</v>
      </c>
      <c r="P889" t="s">
        <v>1683</v>
      </c>
      <c r="Q889" t="s">
        <v>1685</v>
      </c>
      <c r="S889">
        <v>1</v>
      </c>
      <c r="T889">
        <v>3</v>
      </c>
      <c r="V889">
        <v>1.8</v>
      </c>
      <c r="W889">
        <v>87</v>
      </c>
      <c r="X889">
        <v>25</v>
      </c>
      <c r="Y889" t="s">
        <v>35</v>
      </c>
    </row>
    <row r="890" spans="1:25">
      <c r="A890" t="s">
        <v>1686</v>
      </c>
      <c r="B890" s="2" t="str">
        <f>Hyperlink("https://www.diodes.com/datasheet/download/DMP1100UCB4.pdf")</f>
        <v>https://www.diodes.com/datasheet/download/DMP1100UCB4.pdf</v>
      </c>
      <c r="C890" t="str">
        <f>Hyperlink("https://www.diodes.com/part/view/DMP1100UCB4","DMP1100UCB4")</f>
        <v>DMP1100UCB4</v>
      </c>
      <c r="D890" t="s">
        <v>74</v>
      </c>
      <c r="E890" t="s">
        <v>27</v>
      </c>
      <c r="F890" t="s">
        <v>28</v>
      </c>
      <c r="G890" t="s">
        <v>75</v>
      </c>
      <c r="H890" t="s">
        <v>27</v>
      </c>
      <c r="I890">
        <v>12</v>
      </c>
      <c r="J890">
        <v>8</v>
      </c>
      <c r="K890">
        <v>3.2</v>
      </c>
      <c r="M890">
        <v>1.1</v>
      </c>
      <c r="P890">
        <v>83</v>
      </c>
      <c r="Q890">
        <v>96</v>
      </c>
      <c r="R890">
        <v>150</v>
      </c>
      <c r="S890">
        <v>0.35</v>
      </c>
      <c r="T890">
        <v>0.8</v>
      </c>
      <c r="U890">
        <v>9</v>
      </c>
      <c r="W890">
        <v>680</v>
      </c>
      <c r="X890">
        <v>6</v>
      </c>
      <c r="Y890" t="s">
        <v>1662</v>
      </c>
    </row>
    <row r="891" spans="1:25">
      <c r="A891" t="s">
        <v>1687</v>
      </c>
      <c r="B891" s="2" t="str">
        <f>Hyperlink("https://www.diodes.com/datasheet/download/DMP1200UFR4.pdf")</f>
        <v>https://www.diodes.com/datasheet/download/DMP1200UFR4.pdf</v>
      </c>
      <c r="C891" t="str">
        <f>Hyperlink("https://www.diodes.com/part/view/DMP1200UFR4","DMP1200UFR4")</f>
        <v>DMP1200UFR4</v>
      </c>
      <c r="D891" t="s">
        <v>74</v>
      </c>
      <c r="E891" t="s">
        <v>30</v>
      </c>
      <c r="F891" t="s">
        <v>28</v>
      </c>
      <c r="G891" t="s">
        <v>75</v>
      </c>
      <c r="H891" t="s">
        <v>27</v>
      </c>
      <c r="I891">
        <v>12</v>
      </c>
      <c r="J891">
        <v>8</v>
      </c>
      <c r="K891">
        <v>2</v>
      </c>
      <c r="M891">
        <v>1.26</v>
      </c>
      <c r="P891">
        <v>100</v>
      </c>
      <c r="Q891">
        <v>160</v>
      </c>
      <c r="R891">
        <v>200</v>
      </c>
      <c r="S891">
        <v>0.35</v>
      </c>
      <c r="T891">
        <v>1</v>
      </c>
      <c r="U891">
        <v>5.8</v>
      </c>
      <c r="W891">
        <v>514</v>
      </c>
      <c r="X891">
        <v>5</v>
      </c>
      <c r="Y891" t="s">
        <v>809</v>
      </c>
    </row>
    <row r="892" spans="1:25">
      <c r="A892" t="s">
        <v>1688</v>
      </c>
      <c r="B892" s="2" t="str">
        <f>Hyperlink("https://www.diodes.com/datasheet/download/DMP1245UFCL.pdf")</f>
        <v>https://www.diodes.com/datasheet/download/DMP1245UFCL.pdf</v>
      </c>
      <c r="C892" t="str">
        <f>Hyperlink("https://www.diodes.com/part/view/DMP1245UFCL","DMP1245UFCL")</f>
        <v>DMP1245UFCL</v>
      </c>
      <c r="D892" t="s">
        <v>74</v>
      </c>
      <c r="E892" t="s">
        <v>27</v>
      </c>
      <c r="F892" t="s">
        <v>28</v>
      </c>
      <c r="G892" t="s">
        <v>75</v>
      </c>
      <c r="H892" t="s">
        <v>27</v>
      </c>
      <c r="I892">
        <v>12</v>
      </c>
      <c r="J892">
        <v>8</v>
      </c>
      <c r="K892">
        <v>6.6</v>
      </c>
      <c r="M892">
        <v>1.7</v>
      </c>
      <c r="P892">
        <v>29</v>
      </c>
      <c r="Q892">
        <v>45</v>
      </c>
      <c r="R892">
        <v>60</v>
      </c>
      <c r="S892">
        <v>0.3</v>
      </c>
      <c r="T892">
        <v>0.95</v>
      </c>
      <c r="U892">
        <v>16.1</v>
      </c>
      <c r="W892">
        <v>1357</v>
      </c>
      <c r="X892">
        <v>10</v>
      </c>
      <c r="Y892" t="s">
        <v>938</v>
      </c>
    </row>
    <row r="893" spans="1:25">
      <c r="A893" t="s">
        <v>1689</v>
      </c>
      <c r="B893" s="2" t="str">
        <f>Hyperlink("https://www.diodes.com/datasheet/download/DMP1555UFA.pdf")</f>
        <v>https://www.diodes.com/datasheet/download/DMP1555UFA.pdf</v>
      </c>
      <c r="C893" t="str">
        <f>Hyperlink("https://www.diodes.com/part/view/DMP1555UFA","DMP1555UFA")</f>
        <v>DMP1555UFA</v>
      </c>
      <c r="D893" t="s">
        <v>74</v>
      </c>
      <c r="E893" t="s">
        <v>30</v>
      </c>
      <c r="F893" t="s">
        <v>28</v>
      </c>
      <c r="G893" t="s">
        <v>75</v>
      </c>
      <c r="H893" t="s">
        <v>27</v>
      </c>
      <c r="I893">
        <v>12</v>
      </c>
      <c r="J893">
        <v>8</v>
      </c>
      <c r="K893">
        <v>0.2</v>
      </c>
      <c r="M893">
        <v>0.36</v>
      </c>
      <c r="P893">
        <v>800</v>
      </c>
      <c r="Q893">
        <v>1100</v>
      </c>
      <c r="R893">
        <v>3000</v>
      </c>
      <c r="S893">
        <v>0.4</v>
      </c>
      <c r="T893">
        <v>1</v>
      </c>
      <c r="U893">
        <v>0.84</v>
      </c>
      <c r="W893">
        <v>55</v>
      </c>
      <c r="X893">
        <v>10</v>
      </c>
      <c r="Y893" t="s">
        <v>855</v>
      </c>
    </row>
    <row r="894" spans="1:25">
      <c r="A894" t="s">
        <v>1690</v>
      </c>
      <c r="B894" s="2" t="str">
        <f>Hyperlink("https://www.diodes.com/datasheet/download/DMP2002UPS.pdf")</f>
        <v>https://www.diodes.com/datasheet/download/DMP2002UPS.pdf</v>
      </c>
      <c r="C894" t="str">
        <f>Hyperlink("https://www.diodes.com/part/view/DMP2002UPS","DMP2002UPS")</f>
        <v>DMP2002UPS</v>
      </c>
      <c r="D894" t="s">
        <v>636</v>
      </c>
      <c r="E894" t="s">
        <v>27</v>
      </c>
      <c r="F894" t="s">
        <v>28</v>
      </c>
      <c r="G894" t="s">
        <v>75</v>
      </c>
      <c r="H894" t="s">
        <v>30</v>
      </c>
      <c r="I894">
        <v>20</v>
      </c>
      <c r="J894">
        <v>12</v>
      </c>
      <c r="L894">
        <v>60</v>
      </c>
      <c r="M894">
        <v>2.3</v>
      </c>
      <c r="O894">
        <v>1.9</v>
      </c>
      <c r="P894">
        <v>2.4</v>
      </c>
      <c r="Q894">
        <v>3.8</v>
      </c>
      <c r="S894">
        <v>0.5</v>
      </c>
      <c r="T894">
        <v>1.4</v>
      </c>
      <c r="U894">
        <v>228</v>
      </c>
      <c r="V894">
        <v>476</v>
      </c>
      <c r="W894">
        <v>12826</v>
      </c>
      <c r="X894">
        <v>10</v>
      </c>
      <c r="Y894" t="s">
        <v>1691</v>
      </c>
    </row>
    <row r="895" spans="1:25">
      <c r="A895" t="s">
        <v>1692</v>
      </c>
      <c r="B895" s="2" t="str">
        <f>Hyperlink("https://www.diodes.com/datasheet/download/DMP2003UPS.pdf")</f>
        <v>https://www.diodes.com/datasheet/download/DMP2003UPS.pdf</v>
      </c>
      <c r="C895" t="str">
        <f>Hyperlink("https://www.diodes.com/part/view/DMP2003UPS","DMP2003UPS")</f>
        <v>DMP2003UPS</v>
      </c>
      <c r="D895" t="s">
        <v>636</v>
      </c>
      <c r="E895" t="s">
        <v>30</v>
      </c>
      <c r="F895" t="s">
        <v>28</v>
      </c>
      <c r="G895" t="s">
        <v>75</v>
      </c>
      <c r="H895" t="s">
        <v>30</v>
      </c>
      <c r="I895">
        <v>20</v>
      </c>
      <c r="J895">
        <v>12</v>
      </c>
      <c r="L895">
        <v>150</v>
      </c>
      <c r="M895">
        <v>2.7</v>
      </c>
      <c r="O895">
        <v>2.2</v>
      </c>
      <c r="P895">
        <v>2.55</v>
      </c>
      <c r="Q895">
        <v>4</v>
      </c>
      <c r="S895">
        <v>0.5</v>
      </c>
      <c r="T895">
        <v>1.4</v>
      </c>
      <c r="U895">
        <v>79</v>
      </c>
      <c r="V895">
        <v>177</v>
      </c>
      <c r="W895">
        <v>8352</v>
      </c>
      <c r="X895">
        <v>10</v>
      </c>
      <c r="Y895" t="s">
        <v>907</v>
      </c>
    </row>
    <row r="896" spans="1:25">
      <c r="A896" t="s">
        <v>1693</v>
      </c>
      <c r="B896" s="2" t="str">
        <f>Hyperlink("https://www.diodes.com/datasheet/download/DMP2004DMK.pdf")</f>
        <v>https://www.diodes.com/datasheet/download/DMP2004DMK.pdf</v>
      </c>
      <c r="C896" t="str">
        <f>Hyperlink("https://www.diodes.com/part/view/DMP2004DMK","DMP2004DMK")</f>
        <v>DMP2004DMK</v>
      </c>
      <c r="D896" t="s">
        <v>123</v>
      </c>
      <c r="E896" t="s">
        <v>27</v>
      </c>
      <c r="F896" t="s">
        <v>28</v>
      </c>
      <c r="G896" t="s">
        <v>124</v>
      </c>
      <c r="H896" t="s">
        <v>27</v>
      </c>
      <c r="I896">
        <v>20</v>
      </c>
      <c r="J896">
        <v>8</v>
      </c>
      <c r="K896">
        <v>0.55</v>
      </c>
      <c r="M896">
        <v>0.5</v>
      </c>
      <c r="P896">
        <v>900</v>
      </c>
      <c r="Q896">
        <v>1400</v>
      </c>
      <c r="R896">
        <v>2000</v>
      </c>
      <c r="S896">
        <v>0.5</v>
      </c>
      <c r="T896">
        <v>1</v>
      </c>
      <c r="W896">
        <v>95</v>
      </c>
      <c r="Y896" t="s">
        <v>339</v>
      </c>
    </row>
    <row r="897" spans="1:25">
      <c r="A897" t="s">
        <v>1694</v>
      </c>
      <c r="B897" s="2" t="str">
        <f>Hyperlink("https://www.diodes.com/datasheet/download/DMP2004DWK.pdf")</f>
        <v>https://www.diodes.com/datasheet/download/DMP2004DWK.pdf</v>
      </c>
      <c r="C897" t="str">
        <f>Hyperlink("https://www.diodes.com/part/view/DMP2004DWK","DMP2004DWK")</f>
        <v>DMP2004DWK</v>
      </c>
      <c r="D897" t="s">
        <v>123</v>
      </c>
      <c r="E897" t="s">
        <v>27</v>
      </c>
      <c r="F897" t="s">
        <v>28</v>
      </c>
      <c r="G897" t="s">
        <v>124</v>
      </c>
      <c r="H897" t="s">
        <v>27</v>
      </c>
      <c r="I897">
        <v>20</v>
      </c>
      <c r="J897">
        <v>8</v>
      </c>
      <c r="K897">
        <v>0.54</v>
      </c>
      <c r="M897">
        <v>0.25</v>
      </c>
      <c r="P897">
        <v>900</v>
      </c>
      <c r="Q897">
        <v>1400</v>
      </c>
      <c r="R897">
        <v>2000</v>
      </c>
      <c r="S897">
        <v>0.5</v>
      </c>
      <c r="T897">
        <v>1</v>
      </c>
      <c r="W897">
        <v>95</v>
      </c>
      <c r="X897">
        <v>16</v>
      </c>
      <c r="Y897" t="s">
        <v>42</v>
      </c>
    </row>
    <row r="898" spans="1:25">
      <c r="A898" t="s">
        <v>1695</v>
      </c>
      <c r="B898" s="2" t="str">
        <f>Hyperlink("https://www.diodes.com/datasheet/download/DMP2004K.pdf")</f>
        <v>https://www.diodes.com/datasheet/download/DMP2004K.pdf</v>
      </c>
      <c r="C898" t="str">
        <f>Hyperlink("https://www.diodes.com/part/view/DMP2004K","DMP2004K")</f>
        <v>DMP2004K</v>
      </c>
      <c r="D898" t="s">
        <v>74</v>
      </c>
      <c r="E898" t="s">
        <v>27</v>
      </c>
      <c r="F898" t="s">
        <v>28</v>
      </c>
      <c r="G898" t="s">
        <v>75</v>
      </c>
      <c r="H898" t="s">
        <v>27</v>
      </c>
      <c r="I898">
        <v>20</v>
      </c>
      <c r="J898">
        <v>8</v>
      </c>
      <c r="K898">
        <v>0.6</v>
      </c>
      <c r="M898">
        <v>0.55</v>
      </c>
      <c r="P898">
        <v>900</v>
      </c>
      <c r="Q898">
        <v>1400</v>
      </c>
      <c r="R898">
        <v>2000</v>
      </c>
      <c r="S898">
        <v>0.5</v>
      </c>
      <c r="T898">
        <v>1</v>
      </c>
      <c r="W898">
        <v>95</v>
      </c>
      <c r="X898">
        <v>16</v>
      </c>
      <c r="Y898" t="s">
        <v>35</v>
      </c>
    </row>
    <row r="899" spans="1:25">
      <c r="A899" t="s">
        <v>1696</v>
      </c>
      <c r="B899" s="2" t="str">
        <f>Hyperlink("https://www.diodes.com/datasheet/download/DMP2004TK.pdf")</f>
        <v>https://www.diodes.com/datasheet/download/DMP2004TK.pdf</v>
      </c>
      <c r="C899" t="str">
        <f>Hyperlink("https://www.diodes.com/part/view/DMP2004TK","DMP2004TK")</f>
        <v>DMP2004TK</v>
      </c>
      <c r="D899" t="s">
        <v>74</v>
      </c>
      <c r="E899" t="s">
        <v>27</v>
      </c>
      <c r="F899" t="s">
        <v>28</v>
      </c>
      <c r="G899" t="s">
        <v>75</v>
      </c>
      <c r="H899" t="s">
        <v>27</v>
      </c>
      <c r="I899">
        <v>20</v>
      </c>
      <c r="J899">
        <v>8</v>
      </c>
      <c r="K899">
        <v>0.43</v>
      </c>
      <c r="M899">
        <v>0.23</v>
      </c>
      <c r="P899">
        <v>1100</v>
      </c>
      <c r="Q899">
        <v>1600</v>
      </c>
      <c r="R899">
        <v>2400</v>
      </c>
      <c r="S899">
        <v>0.5</v>
      </c>
      <c r="T899">
        <v>1</v>
      </c>
      <c r="U899">
        <v>0.55</v>
      </c>
      <c r="V899" t="s">
        <v>1697</v>
      </c>
      <c r="W899">
        <v>95</v>
      </c>
      <c r="X899">
        <v>16</v>
      </c>
      <c r="Y899" t="s">
        <v>56</v>
      </c>
    </row>
    <row r="900" spans="1:25">
      <c r="A900" t="s">
        <v>1698</v>
      </c>
      <c r="B900" s="2" t="str">
        <f>Hyperlink("https://www.diodes.com/datasheet/download/DMP2004UFG.pdf")</f>
        <v>https://www.diodes.com/datasheet/download/DMP2004UFG.pdf</v>
      </c>
      <c r="C900" t="str">
        <f>Hyperlink("https://www.diodes.com/part/view/DMP2004UFG","DMP2004UFG")</f>
        <v>DMP2004UFG</v>
      </c>
      <c r="D900" t="s">
        <v>636</v>
      </c>
      <c r="E900" t="s">
        <v>30</v>
      </c>
      <c r="F900" t="s">
        <v>28</v>
      </c>
      <c r="G900" t="s">
        <v>75</v>
      </c>
      <c r="H900" t="s">
        <v>30</v>
      </c>
      <c r="I900">
        <v>20</v>
      </c>
      <c r="J900">
        <v>12</v>
      </c>
      <c r="L900">
        <v>115</v>
      </c>
      <c r="M900">
        <v>2.4</v>
      </c>
      <c r="O900">
        <v>3</v>
      </c>
      <c r="P900">
        <v>4</v>
      </c>
      <c r="T900">
        <v>1.1</v>
      </c>
      <c r="U900">
        <v>40</v>
      </c>
      <c r="V900">
        <v>83</v>
      </c>
      <c r="W900">
        <v>3840</v>
      </c>
      <c r="X900">
        <v>10</v>
      </c>
      <c r="Y900" t="s">
        <v>718</v>
      </c>
    </row>
    <row r="901" spans="1:25">
      <c r="A901" t="s">
        <v>1699</v>
      </c>
      <c r="B901" s="2" t="str">
        <f>Hyperlink("https://www.diodes.com/datasheet/download/DMP2004VK.pdf")</f>
        <v>https://www.diodes.com/datasheet/download/DMP2004VK.pdf</v>
      </c>
      <c r="C901" t="str">
        <f>Hyperlink("https://www.diodes.com/part/view/DMP2004VK","DMP2004VK")</f>
        <v>DMP2004VK</v>
      </c>
      <c r="D901" t="s">
        <v>123</v>
      </c>
      <c r="E901" t="s">
        <v>27</v>
      </c>
      <c r="F901" t="s">
        <v>28</v>
      </c>
      <c r="G901" t="s">
        <v>124</v>
      </c>
      <c r="H901" t="s">
        <v>27</v>
      </c>
      <c r="I901">
        <v>20</v>
      </c>
      <c r="J901">
        <v>8</v>
      </c>
      <c r="K901">
        <v>0.53</v>
      </c>
      <c r="M901">
        <v>0.4</v>
      </c>
      <c r="P901">
        <v>900</v>
      </c>
      <c r="Q901">
        <v>1400</v>
      </c>
      <c r="R901">
        <v>2000</v>
      </c>
      <c r="S901">
        <v>0.5</v>
      </c>
      <c r="T901">
        <v>1</v>
      </c>
      <c r="W901">
        <v>95</v>
      </c>
      <c r="X901">
        <v>16</v>
      </c>
      <c r="Y901" t="s">
        <v>60</v>
      </c>
    </row>
    <row r="902" spans="1:25">
      <c r="A902" t="s">
        <v>1700</v>
      </c>
      <c r="B902" s="2" t="str">
        <f>Hyperlink("https://www.diodes.com/datasheet/download/DMP2004WK.pdf")</f>
        <v>https://www.diodes.com/datasheet/download/DMP2004WK.pdf</v>
      </c>
      <c r="C902" t="str">
        <f>Hyperlink("https://www.diodes.com/part/view/DMP2004WK","DMP2004WK")</f>
        <v>DMP2004WK</v>
      </c>
      <c r="D902" t="s">
        <v>74</v>
      </c>
      <c r="E902" t="s">
        <v>27</v>
      </c>
      <c r="F902" t="s">
        <v>28</v>
      </c>
      <c r="G902" t="s">
        <v>75</v>
      </c>
      <c r="H902" t="s">
        <v>27</v>
      </c>
      <c r="I902">
        <v>20</v>
      </c>
      <c r="J902">
        <v>8</v>
      </c>
      <c r="K902">
        <v>0.4</v>
      </c>
      <c r="M902">
        <v>0.25</v>
      </c>
      <c r="P902">
        <v>900</v>
      </c>
      <c r="Q902">
        <v>1400</v>
      </c>
      <c r="R902">
        <v>2000</v>
      </c>
      <c r="S902">
        <v>0.5</v>
      </c>
      <c r="T902">
        <v>1</v>
      </c>
      <c r="W902">
        <v>95</v>
      </c>
      <c r="X902">
        <v>16</v>
      </c>
      <c r="Y902" t="s">
        <v>92</v>
      </c>
    </row>
    <row r="903" spans="1:25">
      <c r="A903" t="s">
        <v>1701</v>
      </c>
      <c r="B903" s="2" t="str">
        <f>Hyperlink("https://www.diodes.com/datasheet/download/DMP2005UFG.pdf")</f>
        <v>https://www.diodes.com/datasheet/download/DMP2005UFG.pdf</v>
      </c>
      <c r="C903" t="str">
        <f>Hyperlink("https://www.diodes.com/part/view/DMP2005UFG","DMP2005UFG")</f>
        <v>DMP2005UFG</v>
      </c>
      <c r="D903" t="s">
        <v>636</v>
      </c>
      <c r="E903" t="s">
        <v>27</v>
      </c>
      <c r="F903" t="s">
        <v>28</v>
      </c>
      <c r="G903" t="s">
        <v>75</v>
      </c>
      <c r="H903" t="s">
        <v>30</v>
      </c>
      <c r="I903">
        <v>20</v>
      </c>
      <c r="J903">
        <v>10</v>
      </c>
      <c r="K903">
        <v>19</v>
      </c>
      <c r="M903">
        <v>2.2</v>
      </c>
      <c r="P903">
        <v>4</v>
      </c>
      <c r="Q903">
        <v>6.5</v>
      </c>
      <c r="R903">
        <v>14</v>
      </c>
      <c r="S903">
        <v>0.3</v>
      </c>
      <c r="T903">
        <v>0.9</v>
      </c>
      <c r="U903">
        <v>55</v>
      </c>
      <c r="V903">
        <v>125</v>
      </c>
      <c r="W903">
        <v>4670</v>
      </c>
      <c r="X903">
        <v>10</v>
      </c>
      <c r="Y903" t="s">
        <v>718</v>
      </c>
    </row>
    <row r="904" spans="1:25">
      <c r="A904" t="s">
        <v>1702</v>
      </c>
      <c r="B904" s="2" t="str">
        <f>Hyperlink("https://www.diodes.com/datasheet/download/DMP2006UFGQ.pdf")</f>
        <v>https://www.diodes.com/datasheet/download/DMP2006UFGQ.pdf</v>
      </c>
      <c r="C904" t="str">
        <f>Hyperlink("https://www.diodes.com/part/view/DMP2006UFGQ","DMP2006UFGQ")</f>
        <v>DMP2006UFGQ</v>
      </c>
      <c r="D904" t="s">
        <v>636</v>
      </c>
      <c r="E904" t="s">
        <v>27</v>
      </c>
      <c r="F904" t="s">
        <v>37</v>
      </c>
      <c r="G904" t="s">
        <v>75</v>
      </c>
      <c r="H904" t="s">
        <v>30</v>
      </c>
      <c r="I904">
        <v>20</v>
      </c>
      <c r="J904">
        <v>10</v>
      </c>
      <c r="K904">
        <v>17.5</v>
      </c>
      <c r="M904">
        <v>2.3</v>
      </c>
      <c r="P904">
        <v>5.5</v>
      </c>
      <c r="Q904">
        <v>7.5</v>
      </c>
      <c r="R904">
        <v>12</v>
      </c>
      <c r="S904">
        <v>0.4</v>
      </c>
      <c r="T904">
        <v>1</v>
      </c>
      <c r="U904">
        <v>64</v>
      </c>
      <c r="V904">
        <v>140</v>
      </c>
      <c r="W904">
        <v>5404</v>
      </c>
      <c r="X904">
        <v>10</v>
      </c>
      <c r="Y904" t="s">
        <v>718</v>
      </c>
    </row>
    <row r="905" spans="1:25">
      <c r="A905" t="s">
        <v>1703</v>
      </c>
      <c r="B905" s="2" t="str">
        <f>Hyperlink("https://www.diodes.com/datasheet/download/DMP2007UFG.pdf")</f>
        <v>https://www.diodes.com/datasheet/download/DMP2007UFG.pdf</v>
      </c>
      <c r="C905" t="str">
        <f>Hyperlink("https://www.diodes.com/part/view/DMP2007UFG","DMP2007UFG")</f>
        <v>DMP2007UFG</v>
      </c>
      <c r="D905" t="s">
        <v>636</v>
      </c>
      <c r="E905" t="s">
        <v>27</v>
      </c>
      <c r="F905" t="s">
        <v>28</v>
      </c>
      <c r="G905" t="s">
        <v>75</v>
      </c>
      <c r="H905" t="s">
        <v>30</v>
      </c>
      <c r="I905">
        <v>20</v>
      </c>
      <c r="J905">
        <v>12</v>
      </c>
      <c r="K905">
        <v>18</v>
      </c>
      <c r="M905">
        <v>2.3</v>
      </c>
      <c r="O905">
        <v>5.5</v>
      </c>
      <c r="P905">
        <v>7</v>
      </c>
      <c r="Q905">
        <v>9</v>
      </c>
      <c r="S905">
        <v>0.4</v>
      </c>
      <c r="T905">
        <v>1.3</v>
      </c>
      <c r="U905">
        <v>39</v>
      </c>
      <c r="V905">
        <v>85</v>
      </c>
      <c r="W905">
        <v>4621</v>
      </c>
      <c r="X905">
        <v>10</v>
      </c>
      <c r="Y905" t="s">
        <v>718</v>
      </c>
    </row>
    <row r="906" spans="1:25">
      <c r="A906" t="s">
        <v>1704</v>
      </c>
      <c r="B906" s="2" t="str">
        <f>Hyperlink("https://www.diodes.com/datasheet/download/DMP2008UFG.pdf")</f>
        <v>https://www.diodes.com/datasheet/download/DMP2008UFG.pdf</v>
      </c>
      <c r="C906" t="str">
        <f>Hyperlink("https://www.diodes.com/part/view/DMP2008UFG","DMP2008UFG")</f>
        <v>DMP2008UFG</v>
      </c>
      <c r="D906" t="s">
        <v>636</v>
      </c>
      <c r="E906" t="s">
        <v>27</v>
      </c>
      <c r="F906" t="s">
        <v>28</v>
      </c>
      <c r="G906" t="s">
        <v>75</v>
      </c>
      <c r="H906" t="s">
        <v>30</v>
      </c>
      <c r="I906">
        <v>20</v>
      </c>
      <c r="J906">
        <v>8</v>
      </c>
      <c r="K906">
        <v>14</v>
      </c>
      <c r="M906">
        <v>2.4</v>
      </c>
      <c r="P906">
        <v>8</v>
      </c>
      <c r="Q906">
        <v>9.8</v>
      </c>
      <c r="R906">
        <v>13</v>
      </c>
      <c r="S906">
        <v>0.4</v>
      </c>
      <c r="T906">
        <v>1</v>
      </c>
      <c r="U906">
        <v>72</v>
      </c>
      <c r="W906">
        <v>6909</v>
      </c>
      <c r="X906">
        <v>10</v>
      </c>
      <c r="Y906" t="s">
        <v>718</v>
      </c>
    </row>
    <row r="907" spans="1:25">
      <c r="A907" t="s">
        <v>1705</v>
      </c>
      <c r="B907" s="2" t="str">
        <f>Hyperlink("https://www.diodes.com/datasheet/download/DMP2008USS.pdf")</f>
        <v>https://www.diodes.com/datasheet/download/DMP2008USS.pdf</v>
      </c>
      <c r="C907" t="str">
        <f>Hyperlink("https://www.diodes.com/part/view/DMP2008USS","DMP2008USS")</f>
        <v>DMP2008USS</v>
      </c>
      <c r="D907" t="s">
        <v>636</v>
      </c>
      <c r="E907" t="s">
        <v>30</v>
      </c>
      <c r="F907" t="s">
        <v>28</v>
      </c>
      <c r="G907" t="s">
        <v>75</v>
      </c>
      <c r="H907" t="s">
        <v>30</v>
      </c>
      <c r="I907">
        <v>20</v>
      </c>
      <c r="J907">
        <v>8</v>
      </c>
      <c r="K907">
        <v>13</v>
      </c>
      <c r="M907">
        <v>2.3</v>
      </c>
      <c r="P907">
        <v>9</v>
      </c>
      <c r="Q907">
        <v>11</v>
      </c>
      <c r="R907">
        <v>16</v>
      </c>
      <c r="S907">
        <v>1</v>
      </c>
      <c r="T907">
        <v>1</v>
      </c>
      <c r="U907">
        <v>76</v>
      </c>
      <c r="V907">
        <v>159</v>
      </c>
      <c r="W907">
        <v>6820</v>
      </c>
      <c r="X907">
        <v>10</v>
      </c>
      <c r="Y907" t="s">
        <v>213</v>
      </c>
    </row>
    <row r="908" spans="1:25">
      <c r="A908" t="s">
        <v>1706</v>
      </c>
      <c r="B908" s="2" t="str">
        <f>Hyperlink("https://www.diodes.com/datasheet/download/DMP2010UFG.pdf")</f>
        <v>https://www.diodes.com/datasheet/download/DMP2010UFG.pdf</v>
      </c>
      <c r="C908" t="str">
        <f>Hyperlink("https://www.diodes.com/part/view/DMP2010UFG","DMP2010UFG")</f>
        <v>DMP2010UFG</v>
      </c>
      <c r="D908" t="s">
        <v>636</v>
      </c>
      <c r="E908" t="s">
        <v>30</v>
      </c>
      <c r="F908" t="s">
        <v>28</v>
      </c>
      <c r="G908" t="s">
        <v>75</v>
      </c>
      <c r="H908" t="s">
        <v>30</v>
      </c>
      <c r="I908">
        <v>20</v>
      </c>
      <c r="J908">
        <v>10</v>
      </c>
      <c r="K908">
        <v>12.7</v>
      </c>
      <c r="M908">
        <v>2.3</v>
      </c>
      <c r="P908">
        <v>9.5</v>
      </c>
      <c r="Q908">
        <v>12.5</v>
      </c>
      <c r="S908">
        <v>0.4</v>
      </c>
      <c r="T908">
        <v>1.2</v>
      </c>
      <c r="U908">
        <v>50</v>
      </c>
      <c r="V908">
        <v>103</v>
      </c>
      <c r="W908">
        <v>3350</v>
      </c>
      <c r="X908">
        <v>10</v>
      </c>
      <c r="Y908" t="s">
        <v>718</v>
      </c>
    </row>
    <row r="909" spans="1:25">
      <c r="A909" t="s">
        <v>1707</v>
      </c>
      <c r="B909" s="2" t="str">
        <f>Hyperlink("https://www.diodes.com/datasheet/download/DMP2010UFV.pdf")</f>
        <v>https://www.diodes.com/datasheet/download/DMP2010UFV.pdf</v>
      </c>
      <c r="C909" t="str">
        <f>Hyperlink("https://www.diodes.com/part/view/DMP2010UFV","DMP2010UFV")</f>
        <v>DMP2010UFV</v>
      </c>
      <c r="D909" t="s">
        <v>636</v>
      </c>
      <c r="E909" t="s">
        <v>30</v>
      </c>
      <c r="F909" t="s">
        <v>28</v>
      </c>
      <c r="G909" t="s">
        <v>75</v>
      </c>
      <c r="H909" t="s">
        <v>30</v>
      </c>
      <c r="I909">
        <v>20</v>
      </c>
      <c r="J909">
        <v>10</v>
      </c>
      <c r="L909">
        <v>50</v>
      </c>
      <c r="M909">
        <v>2</v>
      </c>
      <c r="P909">
        <v>9.5</v>
      </c>
      <c r="Q909">
        <v>12.5</v>
      </c>
      <c r="S909">
        <v>0.4</v>
      </c>
      <c r="T909">
        <v>1.2</v>
      </c>
      <c r="U909">
        <v>50</v>
      </c>
      <c r="V909">
        <v>103</v>
      </c>
      <c r="W909">
        <v>3350</v>
      </c>
      <c r="X909">
        <v>10</v>
      </c>
      <c r="Y909" t="s">
        <v>783</v>
      </c>
    </row>
    <row r="910" spans="1:25">
      <c r="A910" t="s">
        <v>1708</v>
      </c>
      <c r="B910" s="2" t="str">
        <f>Hyperlink("https://www.diodes.com/datasheet/download/DMP2012SN.pdf")</f>
        <v>https://www.diodes.com/datasheet/download/DMP2012SN.pdf</v>
      </c>
      <c r="C910" t="str">
        <f>Hyperlink("https://www.diodes.com/part/view/DMP2012SN","DMP2012SN")</f>
        <v>DMP2012SN</v>
      </c>
      <c r="D910" t="s">
        <v>74</v>
      </c>
      <c r="E910" t="s">
        <v>27</v>
      </c>
      <c r="F910" t="s">
        <v>28</v>
      </c>
      <c r="G910" t="s">
        <v>75</v>
      </c>
      <c r="H910" t="s">
        <v>27</v>
      </c>
      <c r="I910">
        <v>20</v>
      </c>
      <c r="J910">
        <v>12</v>
      </c>
      <c r="K910">
        <v>0.9</v>
      </c>
      <c r="M910">
        <v>0.5</v>
      </c>
      <c r="P910">
        <v>300</v>
      </c>
      <c r="Q910">
        <v>500</v>
      </c>
      <c r="S910">
        <v>0.5</v>
      </c>
      <c r="T910">
        <v>1.2</v>
      </c>
      <c r="W910">
        <v>178.5</v>
      </c>
      <c r="X910">
        <v>10</v>
      </c>
      <c r="Y910" t="s">
        <v>98</v>
      </c>
    </row>
    <row r="911" spans="1:25">
      <c r="A911" t="s">
        <v>1709</v>
      </c>
      <c r="B911" s="2" t="str">
        <f>Hyperlink("https://www.diodes.com/datasheet/download/DMP2012UFDE.pdf")</f>
        <v>https://www.diodes.com/datasheet/download/DMP2012UFDE.pdf</v>
      </c>
      <c r="C911" t="str">
        <f>Hyperlink("https://www.diodes.com/part/view/DMP2012UFDE","DMP2012UFDE")</f>
        <v>DMP2012UFDE</v>
      </c>
      <c r="D911" t="s">
        <v>1710</v>
      </c>
      <c r="E911" t="s">
        <v>30</v>
      </c>
      <c r="F911" t="s">
        <v>28</v>
      </c>
      <c r="G911" t="s">
        <v>75</v>
      </c>
      <c r="H911" t="s">
        <v>27</v>
      </c>
      <c r="I911">
        <v>20</v>
      </c>
      <c r="J911">
        <v>8</v>
      </c>
      <c r="K911">
        <v>14</v>
      </c>
      <c r="M911">
        <v>2.4</v>
      </c>
      <c r="P911">
        <v>9</v>
      </c>
      <c r="Q911">
        <v>12</v>
      </c>
      <c r="S911">
        <v>0.4</v>
      </c>
      <c r="T911">
        <v>1.5</v>
      </c>
      <c r="U911">
        <v>16</v>
      </c>
      <c r="V911">
        <v>28</v>
      </c>
      <c r="W911">
        <v>1686</v>
      </c>
      <c r="X911">
        <v>15</v>
      </c>
      <c r="Y911" t="s">
        <v>778</v>
      </c>
    </row>
    <row r="912" spans="1:25">
      <c r="A912" t="s">
        <v>1711</v>
      </c>
      <c r="B912" s="2" t="str">
        <f>Hyperlink("https://www.diodes.com/datasheet/download/DMP2016UFDF.pdf")</f>
        <v>https://www.diodes.com/datasheet/download/DMP2016UFDF.pdf</v>
      </c>
      <c r="C912" t="str">
        <f>Hyperlink("https://www.diodes.com/part/view/DMP2016UFDF","DMP2016UFDF")</f>
        <v>DMP2016UFDF</v>
      </c>
      <c r="D912" t="s">
        <v>74</v>
      </c>
      <c r="E912" t="s">
        <v>30</v>
      </c>
      <c r="F912" t="s">
        <v>28</v>
      </c>
      <c r="G912" t="s">
        <v>75</v>
      </c>
      <c r="H912" t="s">
        <v>27</v>
      </c>
      <c r="I912">
        <v>20</v>
      </c>
      <c r="J912">
        <v>8</v>
      </c>
      <c r="K912">
        <v>9.5</v>
      </c>
      <c r="M912">
        <v>1.8</v>
      </c>
      <c r="P912">
        <v>15</v>
      </c>
      <c r="Q912">
        <v>19</v>
      </c>
      <c r="T912">
        <v>1.1</v>
      </c>
      <c r="U912">
        <v>17</v>
      </c>
      <c r="V912" t="s">
        <v>1712</v>
      </c>
      <c r="Y912" t="s">
        <v>780</v>
      </c>
    </row>
    <row r="913" spans="1:25">
      <c r="A913" t="s">
        <v>1713</v>
      </c>
      <c r="B913" s="2" t="str">
        <f>Hyperlink("https://www.diodes.com/datasheet/download/DMP2018LFK.pdf")</f>
        <v>https://www.diodes.com/datasheet/download/DMP2018LFK.pdf</v>
      </c>
      <c r="C913" t="str">
        <f>Hyperlink("https://www.diodes.com/part/view/DMP2018LFK","DMP2018LFK")</f>
        <v>DMP2018LFK</v>
      </c>
      <c r="D913" t="s">
        <v>74</v>
      </c>
      <c r="E913" t="s">
        <v>27</v>
      </c>
      <c r="F913" t="s">
        <v>28</v>
      </c>
      <c r="G913" t="s">
        <v>75</v>
      </c>
      <c r="H913" t="s">
        <v>27</v>
      </c>
      <c r="I913">
        <v>20</v>
      </c>
      <c r="J913">
        <v>12</v>
      </c>
      <c r="K913">
        <v>9.2</v>
      </c>
      <c r="M913">
        <v>2.1</v>
      </c>
      <c r="P913">
        <v>16</v>
      </c>
      <c r="Q913">
        <v>20</v>
      </c>
      <c r="S913">
        <v>0.45</v>
      </c>
      <c r="T913">
        <v>1.2</v>
      </c>
      <c r="U913">
        <v>53</v>
      </c>
      <c r="V913">
        <v>113</v>
      </c>
      <c r="W913">
        <v>4748</v>
      </c>
      <c r="X913">
        <v>10</v>
      </c>
      <c r="Y913" t="s">
        <v>1714</v>
      </c>
    </row>
    <row r="914" spans="1:25">
      <c r="A914" t="s">
        <v>1715</v>
      </c>
      <c r="B914" s="2" t="str">
        <f>Hyperlink("https://www.diodes.com/datasheet/download/DMP2021UFDE.pdf")</f>
        <v>https://www.diodes.com/datasheet/download/DMP2021UFDE.pdf</v>
      </c>
      <c r="C914" t="str">
        <f>Hyperlink("https://www.diodes.com/part/view/DMP2021UFDE","DMP2021UFDE")</f>
        <v>DMP2021UFDE</v>
      </c>
      <c r="D914" t="s">
        <v>74</v>
      </c>
      <c r="E914" t="s">
        <v>27</v>
      </c>
      <c r="F914" t="s">
        <v>28</v>
      </c>
      <c r="G914" t="s">
        <v>75</v>
      </c>
      <c r="H914" t="s">
        <v>30</v>
      </c>
      <c r="I914">
        <v>20</v>
      </c>
      <c r="J914">
        <v>10</v>
      </c>
      <c r="K914">
        <v>9</v>
      </c>
      <c r="M914">
        <v>1.9</v>
      </c>
      <c r="P914">
        <v>16</v>
      </c>
      <c r="Q914">
        <v>22</v>
      </c>
      <c r="R914">
        <v>40</v>
      </c>
      <c r="S914">
        <v>0.35</v>
      </c>
      <c r="T914">
        <v>1</v>
      </c>
      <c r="U914">
        <v>34</v>
      </c>
      <c r="V914" t="s">
        <v>1716</v>
      </c>
      <c r="W914">
        <v>2760</v>
      </c>
      <c r="X914">
        <v>15</v>
      </c>
      <c r="Y914" t="s">
        <v>778</v>
      </c>
    </row>
    <row r="915" spans="1:25">
      <c r="A915" t="s">
        <v>1717</v>
      </c>
      <c r="B915" s="2" t="str">
        <f>Hyperlink("https://www.diodes.com/datasheet/download/DMP2021UFDF.pdf")</f>
        <v>https://www.diodes.com/datasheet/download/DMP2021UFDF.pdf</v>
      </c>
      <c r="C915" t="str">
        <f>Hyperlink("https://www.diodes.com/part/view/DMP2021UFDF","DMP2021UFDF")</f>
        <v>DMP2021UFDF</v>
      </c>
      <c r="D915" t="s">
        <v>74</v>
      </c>
      <c r="E915" t="s">
        <v>27</v>
      </c>
      <c r="F915" t="s">
        <v>28</v>
      </c>
      <c r="G915" t="s">
        <v>75</v>
      </c>
      <c r="H915" t="s">
        <v>27</v>
      </c>
      <c r="I915">
        <v>20</v>
      </c>
      <c r="J915">
        <v>8</v>
      </c>
      <c r="K915">
        <v>9</v>
      </c>
      <c r="M915">
        <v>2.02</v>
      </c>
      <c r="P915">
        <v>16</v>
      </c>
      <c r="Q915">
        <v>22</v>
      </c>
      <c r="R915">
        <v>40</v>
      </c>
      <c r="S915">
        <v>0.35</v>
      </c>
      <c r="T915">
        <v>1</v>
      </c>
      <c r="U915">
        <v>34</v>
      </c>
      <c r="V915" t="s">
        <v>1716</v>
      </c>
      <c r="W915">
        <v>2760</v>
      </c>
      <c r="X915">
        <v>15</v>
      </c>
      <c r="Y915" t="s">
        <v>780</v>
      </c>
    </row>
    <row r="916" spans="1:25">
      <c r="A916" t="s">
        <v>1718</v>
      </c>
      <c r="B916" s="2" t="str">
        <f>Hyperlink("https://www.diodes.com/datasheet/download/DMP2021UTS.pdf")</f>
        <v>https://www.diodes.com/datasheet/download/DMP2021UTS.pdf</v>
      </c>
      <c r="C916" t="str">
        <f>Hyperlink("https://www.diodes.com/part/view/DMP2021UTS","DMP2021UTS")</f>
        <v>DMP2021UTS</v>
      </c>
      <c r="D916" t="s">
        <v>74</v>
      </c>
      <c r="E916" t="s">
        <v>27</v>
      </c>
      <c r="F916" t="s">
        <v>28</v>
      </c>
      <c r="G916" t="s">
        <v>75</v>
      </c>
      <c r="H916" t="s">
        <v>27</v>
      </c>
      <c r="I916">
        <v>20</v>
      </c>
      <c r="J916">
        <v>10</v>
      </c>
      <c r="K916">
        <v>7.4</v>
      </c>
      <c r="M916">
        <v>1.3</v>
      </c>
      <c r="P916">
        <v>16</v>
      </c>
      <c r="Q916">
        <v>22</v>
      </c>
      <c r="R916">
        <v>40</v>
      </c>
      <c r="S916">
        <v>0.35</v>
      </c>
      <c r="T916">
        <v>1</v>
      </c>
      <c r="U916">
        <v>34</v>
      </c>
      <c r="V916" t="s">
        <v>1716</v>
      </c>
      <c r="W916">
        <v>2760</v>
      </c>
      <c r="X916">
        <v>15</v>
      </c>
      <c r="Y916" t="s">
        <v>716</v>
      </c>
    </row>
    <row r="917" spans="1:25">
      <c r="A917" t="s">
        <v>1719</v>
      </c>
      <c r="B917" s="2" t="str">
        <f>Hyperlink("https://www.diodes.com/datasheet/download/DMP2021UTSQ.pdf")</f>
        <v>https://www.diodes.com/datasheet/download/DMP2021UTSQ.pdf</v>
      </c>
      <c r="C917" t="str">
        <f>Hyperlink("https://www.diodes.com/part/view/DMP2021UTSQ","DMP2021UTSQ")</f>
        <v>DMP2021UTSQ</v>
      </c>
      <c r="D917" t="s">
        <v>74</v>
      </c>
      <c r="E917" t="s">
        <v>27</v>
      </c>
      <c r="F917" t="s">
        <v>37</v>
      </c>
      <c r="G917" t="s">
        <v>75</v>
      </c>
      <c r="H917" t="s">
        <v>27</v>
      </c>
      <c r="I917">
        <v>20</v>
      </c>
      <c r="J917">
        <v>10</v>
      </c>
      <c r="K917">
        <v>7.4</v>
      </c>
      <c r="M917">
        <v>1.3</v>
      </c>
      <c r="P917">
        <v>16</v>
      </c>
      <c r="Q917">
        <v>22</v>
      </c>
      <c r="R917">
        <v>40</v>
      </c>
      <c r="S917">
        <v>0.35</v>
      </c>
      <c r="T917">
        <v>1</v>
      </c>
      <c r="U917">
        <v>34</v>
      </c>
      <c r="V917" t="s">
        <v>1716</v>
      </c>
      <c r="W917">
        <v>2760</v>
      </c>
      <c r="X917">
        <v>15</v>
      </c>
      <c r="Y917" t="s">
        <v>716</v>
      </c>
    </row>
    <row r="918" spans="1:25">
      <c r="A918" t="s">
        <v>1720</v>
      </c>
      <c r="B918" s="2" t="str">
        <f>Hyperlink("https://www.diodes.com/datasheet/download/DMP2022LSS.pdf")</f>
        <v>https://www.diodes.com/datasheet/download/DMP2022LSS.pdf</v>
      </c>
      <c r="C918" t="str">
        <f>Hyperlink("https://www.diodes.com/part/view/DMP2022LSS","DMP2022LSS")</f>
        <v>DMP2022LSS</v>
      </c>
      <c r="D918" t="s">
        <v>74</v>
      </c>
      <c r="E918" t="s">
        <v>27</v>
      </c>
      <c r="F918" t="s">
        <v>28</v>
      </c>
      <c r="G918" t="s">
        <v>75</v>
      </c>
      <c r="H918" t="s">
        <v>30</v>
      </c>
      <c r="I918">
        <v>20</v>
      </c>
      <c r="J918">
        <v>12</v>
      </c>
      <c r="K918">
        <v>10</v>
      </c>
      <c r="M918">
        <v>2.5</v>
      </c>
      <c r="O918">
        <v>13</v>
      </c>
      <c r="P918">
        <v>16</v>
      </c>
      <c r="Q918">
        <v>22</v>
      </c>
      <c r="S918">
        <v>0.6</v>
      </c>
      <c r="T918">
        <v>1.1</v>
      </c>
      <c r="U918">
        <v>28.1</v>
      </c>
      <c r="V918">
        <v>56.9</v>
      </c>
      <c r="W918">
        <v>2444</v>
      </c>
      <c r="X918">
        <v>10</v>
      </c>
      <c r="Y918" t="s">
        <v>213</v>
      </c>
    </row>
    <row r="919" spans="1:25">
      <c r="A919" t="s">
        <v>1721</v>
      </c>
      <c r="B919" s="2" t="str">
        <f>Hyperlink("https://www.diodes.com/datasheet/download/DMP2022LSSQ.pdf")</f>
        <v>https://www.diodes.com/datasheet/download/DMP2022LSSQ.pdf</v>
      </c>
      <c r="C919" t="str">
        <f>Hyperlink("https://www.diodes.com/part/view/DMP2022LSSQ","DMP2022LSSQ")</f>
        <v>DMP2022LSSQ</v>
      </c>
      <c r="D919" t="s">
        <v>74</v>
      </c>
      <c r="E919" t="s">
        <v>27</v>
      </c>
      <c r="F919" t="s">
        <v>37</v>
      </c>
      <c r="G919" t="s">
        <v>75</v>
      </c>
      <c r="H919" t="s">
        <v>30</v>
      </c>
      <c r="I919">
        <v>20</v>
      </c>
      <c r="J919">
        <v>12</v>
      </c>
      <c r="K919">
        <v>9.3</v>
      </c>
      <c r="M919">
        <v>1.6</v>
      </c>
      <c r="O919">
        <v>13</v>
      </c>
      <c r="P919">
        <v>16</v>
      </c>
      <c r="Q919">
        <v>22</v>
      </c>
      <c r="S919">
        <v>0.6</v>
      </c>
      <c r="T919">
        <v>1.1</v>
      </c>
      <c r="U919">
        <v>28.1</v>
      </c>
      <c r="V919">
        <v>60.2</v>
      </c>
      <c r="W919">
        <v>2575</v>
      </c>
      <c r="X919">
        <v>10</v>
      </c>
      <c r="Y919" t="s">
        <v>213</v>
      </c>
    </row>
    <row r="920" spans="1:25">
      <c r="A920" t="s">
        <v>1722</v>
      </c>
      <c r="B920" s="2" t="str">
        <f>Hyperlink("https://www.diodes.com/datasheet/download/DMP2023UFDF.pdf")</f>
        <v>https://www.diodes.com/datasheet/download/DMP2023UFDF.pdf</v>
      </c>
      <c r="C920" t="str">
        <f>Hyperlink("https://www.diodes.com/part/view/DMP2023UFDF","DMP2023UFDF")</f>
        <v>DMP2023UFDF</v>
      </c>
      <c r="D920" t="s">
        <v>636</v>
      </c>
      <c r="E920" t="s">
        <v>30</v>
      </c>
      <c r="F920" t="s">
        <v>28</v>
      </c>
      <c r="G920" t="s">
        <v>75</v>
      </c>
      <c r="H920" t="s">
        <v>30</v>
      </c>
      <c r="I920">
        <v>20</v>
      </c>
      <c r="J920">
        <v>8</v>
      </c>
      <c r="K920">
        <v>7.6</v>
      </c>
      <c r="M920">
        <v>2.03</v>
      </c>
      <c r="P920">
        <v>27</v>
      </c>
      <c r="Q920">
        <v>32</v>
      </c>
      <c r="R920">
        <v>50</v>
      </c>
      <c r="S920">
        <v>0.4</v>
      </c>
      <c r="T920">
        <v>1</v>
      </c>
      <c r="U920">
        <v>27</v>
      </c>
      <c r="W920">
        <v>1837</v>
      </c>
      <c r="X920">
        <v>15</v>
      </c>
      <c r="Y920" t="s">
        <v>780</v>
      </c>
    </row>
    <row r="921" spans="1:25">
      <c r="A921" t="s">
        <v>1723</v>
      </c>
      <c r="B921" s="2" t="str">
        <f>Hyperlink("https://www.diodes.com/datasheet/download/DMP2033UVT.pdf")</f>
        <v>https://www.diodes.com/datasheet/download/DMP2033UVT.pdf</v>
      </c>
      <c r="C921" t="str">
        <f>Hyperlink("https://www.diodes.com/part/view/DMP2033UVT","DMP2033UVT")</f>
        <v>DMP2033UVT</v>
      </c>
      <c r="D921" t="s">
        <v>74</v>
      </c>
      <c r="E921" t="s">
        <v>27</v>
      </c>
      <c r="F921" t="s">
        <v>28</v>
      </c>
      <c r="G921" t="s">
        <v>75</v>
      </c>
      <c r="H921" t="s">
        <v>30</v>
      </c>
      <c r="I921">
        <v>20</v>
      </c>
      <c r="J921">
        <v>8</v>
      </c>
      <c r="K921">
        <v>4.2</v>
      </c>
      <c r="M921">
        <v>1.7</v>
      </c>
      <c r="P921">
        <v>65</v>
      </c>
      <c r="Q921">
        <v>100</v>
      </c>
      <c r="R921">
        <v>200</v>
      </c>
      <c r="S921">
        <v>0.5</v>
      </c>
      <c r="T921">
        <v>0.9</v>
      </c>
      <c r="U921">
        <v>10.4</v>
      </c>
      <c r="W921">
        <v>845</v>
      </c>
      <c r="X921">
        <v>15</v>
      </c>
      <c r="Y921" t="s">
        <v>183</v>
      </c>
    </row>
    <row r="922" spans="1:25">
      <c r="A922" t="s">
        <v>1724</v>
      </c>
      <c r="B922" s="2" t="str">
        <f>Hyperlink("https://www.diodes.com/datasheet/download/DMP2035U.pdf")</f>
        <v>https://www.diodes.com/datasheet/download/DMP2035U.pdf</v>
      </c>
      <c r="C922" t="str">
        <f>Hyperlink("https://www.diodes.com/part/view/DMP2035U","DMP2035U")</f>
        <v>DMP2035U</v>
      </c>
      <c r="D922" t="s">
        <v>74</v>
      </c>
      <c r="E922" t="s">
        <v>27</v>
      </c>
      <c r="F922" t="s">
        <v>28</v>
      </c>
      <c r="G922" t="s">
        <v>75</v>
      </c>
      <c r="H922" t="s">
        <v>27</v>
      </c>
      <c r="I922">
        <v>20</v>
      </c>
      <c r="J922">
        <v>10</v>
      </c>
      <c r="K922">
        <v>4.9</v>
      </c>
      <c r="M922">
        <v>1.2</v>
      </c>
      <c r="P922">
        <v>35</v>
      </c>
      <c r="Q922">
        <v>45</v>
      </c>
      <c r="R922">
        <v>62</v>
      </c>
      <c r="S922">
        <v>0.4</v>
      </c>
      <c r="T922">
        <v>1</v>
      </c>
      <c r="U922">
        <v>15.4</v>
      </c>
      <c r="W922">
        <v>1610</v>
      </c>
      <c r="X922">
        <v>10</v>
      </c>
      <c r="Y922" t="s">
        <v>35</v>
      </c>
    </row>
    <row r="923" spans="1:25">
      <c r="A923" t="s">
        <v>1725</v>
      </c>
      <c r="B923" s="2" t="str">
        <f>Hyperlink("https://www.diodes.com/datasheet/download/DMP2035UFCL.pdf")</f>
        <v>https://www.diodes.com/datasheet/download/DMP2035UFCL.pdf</v>
      </c>
      <c r="C923" t="str">
        <f>Hyperlink("https://www.diodes.com/part/view/DMP2035UFCL","DMP2035UFCL")</f>
        <v>DMP2035UFCL</v>
      </c>
      <c r="D923" t="s">
        <v>74</v>
      </c>
      <c r="E923" t="s">
        <v>27</v>
      </c>
      <c r="F923" t="s">
        <v>28</v>
      </c>
      <c r="G923" t="s">
        <v>75</v>
      </c>
      <c r="H923" t="s">
        <v>27</v>
      </c>
      <c r="I923">
        <v>20</v>
      </c>
      <c r="J923">
        <v>8</v>
      </c>
      <c r="K923">
        <v>6.6</v>
      </c>
      <c r="M923">
        <v>1.6</v>
      </c>
      <c r="P923">
        <v>24</v>
      </c>
      <c r="Q923">
        <v>31</v>
      </c>
      <c r="R923">
        <v>45</v>
      </c>
      <c r="S923">
        <v>0.4</v>
      </c>
      <c r="T923">
        <v>1</v>
      </c>
      <c r="U923">
        <v>15.4</v>
      </c>
      <c r="V923" t="s">
        <v>1726</v>
      </c>
      <c r="W923">
        <v>1610</v>
      </c>
      <c r="X923">
        <v>10</v>
      </c>
      <c r="Y923" t="s">
        <v>1727</v>
      </c>
    </row>
    <row r="924" spans="1:25">
      <c r="A924" t="s">
        <v>1728</v>
      </c>
      <c r="B924" s="2" t="str">
        <f>Hyperlink("https://www.diodes.com/datasheet/download/DMP2035UFDF.pdf")</f>
        <v>https://www.diodes.com/datasheet/download/DMP2035UFDF.pdf</v>
      </c>
      <c r="C924" t="str">
        <f>Hyperlink("https://www.diodes.com/part/view/DMP2035UFDF","DMP2035UFDF")</f>
        <v>DMP2035UFDF</v>
      </c>
      <c r="D924" t="s">
        <v>74</v>
      </c>
      <c r="E924" t="s">
        <v>27</v>
      </c>
      <c r="F924" t="s">
        <v>28</v>
      </c>
      <c r="G924" t="s">
        <v>75</v>
      </c>
      <c r="H924" t="s">
        <v>27</v>
      </c>
      <c r="I924">
        <v>20</v>
      </c>
      <c r="J924">
        <v>8</v>
      </c>
      <c r="K924">
        <v>6.9</v>
      </c>
      <c r="M924">
        <v>2.03</v>
      </c>
      <c r="P924">
        <v>29</v>
      </c>
      <c r="Q924">
        <v>39</v>
      </c>
      <c r="R924">
        <v>60</v>
      </c>
      <c r="S924">
        <v>0.4</v>
      </c>
      <c r="T924">
        <v>1</v>
      </c>
      <c r="U924">
        <v>20.5</v>
      </c>
      <c r="W924">
        <v>1808</v>
      </c>
      <c r="X924">
        <v>15</v>
      </c>
      <c r="Y924" t="s">
        <v>780</v>
      </c>
    </row>
    <row r="925" spans="1:25">
      <c r="A925" t="s">
        <v>1729</v>
      </c>
      <c r="B925" s="2" t="str">
        <f>Hyperlink("https://www.diodes.com/datasheet/download/DMP2035UTS.pdf")</f>
        <v>https://www.diodes.com/datasheet/download/DMP2035UTS.pdf</v>
      </c>
      <c r="C925" t="str">
        <f>Hyperlink("https://www.diodes.com/part/view/DMP2035UTS","DMP2035UTS")</f>
        <v>DMP2035UTS</v>
      </c>
      <c r="D925" t="s">
        <v>123</v>
      </c>
      <c r="E925" t="s">
        <v>27</v>
      </c>
      <c r="F925" t="s">
        <v>28</v>
      </c>
      <c r="G925" t="s">
        <v>124</v>
      </c>
      <c r="H925" t="s">
        <v>27</v>
      </c>
      <c r="I925">
        <v>20</v>
      </c>
      <c r="J925">
        <v>8</v>
      </c>
      <c r="K925">
        <v>6.04</v>
      </c>
      <c r="M925">
        <v>0.89</v>
      </c>
      <c r="P925">
        <v>35</v>
      </c>
      <c r="Q925">
        <v>45</v>
      </c>
      <c r="R925">
        <v>62</v>
      </c>
      <c r="S925">
        <v>0.4</v>
      </c>
      <c r="T925">
        <v>1</v>
      </c>
      <c r="U925">
        <v>15.4</v>
      </c>
      <c r="W925">
        <v>1610</v>
      </c>
      <c r="X925">
        <v>10</v>
      </c>
      <c r="Y925" t="s">
        <v>716</v>
      </c>
    </row>
    <row r="926" spans="1:25">
      <c r="A926" t="s">
        <v>1730</v>
      </c>
      <c r="B926" s="2" t="str">
        <f>Hyperlink("https://www.diodes.com/datasheet/download/DMP2035UVT.pdf")</f>
        <v>https://www.diodes.com/datasheet/download/DMP2035UVT.pdf</v>
      </c>
      <c r="C926" t="str">
        <f>Hyperlink("https://www.diodes.com/part/view/DMP2035UVT","DMP2035UVT")</f>
        <v>DMP2035UVT</v>
      </c>
      <c r="D926" t="s">
        <v>74</v>
      </c>
      <c r="E926" t="s">
        <v>27</v>
      </c>
      <c r="F926" t="s">
        <v>28</v>
      </c>
      <c r="G926" t="s">
        <v>75</v>
      </c>
      <c r="H926" t="s">
        <v>27</v>
      </c>
      <c r="I926">
        <v>20</v>
      </c>
      <c r="J926">
        <v>12</v>
      </c>
      <c r="K926">
        <v>6</v>
      </c>
      <c r="M926">
        <v>2</v>
      </c>
      <c r="P926">
        <v>35</v>
      </c>
      <c r="Q926">
        <v>45</v>
      </c>
      <c r="R926">
        <v>62</v>
      </c>
      <c r="S926">
        <v>0.4</v>
      </c>
      <c r="T926">
        <v>1.5</v>
      </c>
      <c r="U926">
        <v>15.4</v>
      </c>
      <c r="W926">
        <v>1610</v>
      </c>
      <c r="X926">
        <v>10</v>
      </c>
      <c r="Y926" t="s">
        <v>183</v>
      </c>
    </row>
    <row r="927" spans="1:25">
      <c r="A927" t="s">
        <v>1731</v>
      </c>
      <c r="B927" s="2" t="str">
        <f>Hyperlink("https://www.diodes.com/datasheet/download/DMP2035UVTQ.pdf")</f>
        <v>https://www.diodes.com/datasheet/download/DMP2035UVTQ.pdf</v>
      </c>
      <c r="C927" t="str">
        <f>Hyperlink("https://www.diodes.com/part/view/DMP2035UVTQ","DMP2035UVTQ")</f>
        <v>DMP2035UVTQ</v>
      </c>
      <c r="D927" t="s">
        <v>74</v>
      </c>
      <c r="E927" t="s">
        <v>27</v>
      </c>
      <c r="F927" t="s">
        <v>37</v>
      </c>
      <c r="G927" t="s">
        <v>75</v>
      </c>
      <c r="H927" t="s">
        <v>27</v>
      </c>
      <c r="I927">
        <v>20</v>
      </c>
      <c r="J927">
        <v>12</v>
      </c>
      <c r="K927">
        <v>6</v>
      </c>
      <c r="M927">
        <v>2</v>
      </c>
      <c r="P927">
        <v>35</v>
      </c>
      <c r="Q927">
        <v>45</v>
      </c>
      <c r="R927">
        <v>62</v>
      </c>
      <c r="S927">
        <v>0.4</v>
      </c>
      <c r="T927">
        <v>1.5</v>
      </c>
      <c r="U927">
        <v>15.4</v>
      </c>
      <c r="W927">
        <v>1610</v>
      </c>
      <c r="X927">
        <v>10</v>
      </c>
      <c r="Y927" t="s">
        <v>183</v>
      </c>
    </row>
    <row r="928" spans="1:25">
      <c r="A928" t="s">
        <v>1732</v>
      </c>
      <c r="B928" s="2" t="str">
        <f>Hyperlink("https://www.diodes.com/datasheet/download/DMP2036UVT.pdf")</f>
        <v>https://www.diodes.com/datasheet/download/DMP2036UVT.pdf</v>
      </c>
      <c r="C928" t="str">
        <f>Hyperlink("https://www.diodes.com/part/view/DMP2036UVT","DMP2036UVT")</f>
        <v>DMP2036UVT</v>
      </c>
      <c r="D928" t="s">
        <v>74</v>
      </c>
      <c r="E928" t="s">
        <v>30</v>
      </c>
      <c r="F928" t="s">
        <v>28</v>
      </c>
      <c r="G928" t="s">
        <v>75</v>
      </c>
      <c r="H928" t="s">
        <v>27</v>
      </c>
      <c r="I928">
        <v>20</v>
      </c>
      <c r="J928">
        <v>8</v>
      </c>
      <c r="K928">
        <v>6</v>
      </c>
      <c r="M928">
        <v>1.5</v>
      </c>
      <c r="P928">
        <v>30</v>
      </c>
      <c r="Q928">
        <v>39</v>
      </c>
      <c r="R928">
        <v>58</v>
      </c>
      <c r="S928">
        <v>0.4</v>
      </c>
      <c r="T928">
        <v>1</v>
      </c>
      <c r="U928">
        <v>20.5</v>
      </c>
      <c r="W928">
        <v>1808</v>
      </c>
      <c r="X928">
        <v>15</v>
      </c>
      <c r="Y928" t="s">
        <v>183</v>
      </c>
    </row>
    <row r="929" spans="1:25">
      <c r="A929" t="s">
        <v>1733</v>
      </c>
      <c r="B929" s="2" t="str">
        <f>Hyperlink("https://www.diodes.com/datasheet/download/DMP2036UVTQ.pdf")</f>
        <v>https://www.diodes.com/datasheet/download/DMP2036UVTQ.pdf</v>
      </c>
      <c r="C929" t="str">
        <f>Hyperlink("https://www.diodes.com/part/view/DMP2036UVTQ","DMP2036UVTQ")</f>
        <v>DMP2036UVTQ</v>
      </c>
      <c r="D929" t="s">
        <v>1645</v>
      </c>
      <c r="E929" t="s">
        <v>27</v>
      </c>
      <c r="F929" t="s">
        <v>37</v>
      </c>
      <c r="G929" t="s">
        <v>75</v>
      </c>
      <c r="H929" t="s">
        <v>27</v>
      </c>
      <c r="I929">
        <v>20</v>
      </c>
      <c r="J929">
        <v>8</v>
      </c>
      <c r="K929">
        <v>6</v>
      </c>
      <c r="M929">
        <v>1.5</v>
      </c>
      <c r="P929">
        <v>30</v>
      </c>
      <c r="Q929">
        <v>39</v>
      </c>
      <c r="S929">
        <v>0.4</v>
      </c>
      <c r="T929">
        <v>1</v>
      </c>
      <c r="U929">
        <v>20.5</v>
      </c>
      <c r="W929">
        <v>1808</v>
      </c>
      <c r="X929">
        <v>15</v>
      </c>
      <c r="Y929" t="s">
        <v>183</v>
      </c>
    </row>
    <row r="930" spans="1:25">
      <c r="A930" t="s">
        <v>1734</v>
      </c>
      <c r="B930" s="2" t="str">
        <f>Hyperlink("https://www.diodes.com/datasheet/download/DMP2037U.pdf")</f>
        <v>https://www.diodes.com/datasheet/download/DMP2037U.pdf</v>
      </c>
      <c r="C930" t="str">
        <f>Hyperlink("https://www.diodes.com/part/view/DMP2037U","DMP2037U")</f>
        <v>DMP2037U</v>
      </c>
      <c r="D930" t="s">
        <v>74</v>
      </c>
      <c r="E930" t="s">
        <v>30</v>
      </c>
      <c r="F930" t="s">
        <v>28</v>
      </c>
      <c r="G930" t="s">
        <v>75</v>
      </c>
      <c r="H930" t="s">
        <v>27</v>
      </c>
      <c r="I930">
        <v>20</v>
      </c>
      <c r="J930">
        <v>10</v>
      </c>
      <c r="K930">
        <v>6.1</v>
      </c>
      <c r="M930">
        <v>1.6</v>
      </c>
      <c r="P930">
        <v>28</v>
      </c>
      <c r="Q930">
        <v>43</v>
      </c>
      <c r="T930">
        <v>1.2</v>
      </c>
      <c r="U930">
        <v>8.4</v>
      </c>
      <c r="W930">
        <v>803</v>
      </c>
      <c r="X930">
        <v>10</v>
      </c>
      <c r="Y930" t="s">
        <v>35</v>
      </c>
    </row>
    <row r="931" spans="1:25">
      <c r="A931" t="s">
        <v>1735</v>
      </c>
      <c r="B931" s="2" t="str">
        <f>Hyperlink("https://www.diodes.com/datasheet/download/DMP2037UFCL.pdf")</f>
        <v>https://www.diodes.com/datasheet/download/DMP2037UFCL.pdf</v>
      </c>
      <c r="C931" t="str">
        <f>Hyperlink("https://www.diodes.com/part/view/DMP2037UFCL","DMP2037UFCL")</f>
        <v>DMP2037UFCL</v>
      </c>
      <c r="D931" t="s">
        <v>74</v>
      </c>
      <c r="E931" t="s">
        <v>30</v>
      </c>
      <c r="F931" t="s">
        <v>28</v>
      </c>
      <c r="G931" t="s">
        <v>75</v>
      </c>
      <c r="H931" t="s">
        <v>27</v>
      </c>
      <c r="I931">
        <v>20</v>
      </c>
      <c r="J931">
        <v>10</v>
      </c>
      <c r="K931">
        <v>8</v>
      </c>
      <c r="M931">
        <v>2.3</v>
      </c>
      <c r="P931">
        <v>28</v>
      </c>
      <c r="Q931">
        <v>43</v>
      </c>
      <c r="S931">
        <v>0.5</v>
      </c>
      <c r="T931">
        <v>1.5</v>
      </c>
      <c r="U931">
        <v>8.5</v>
      </c>
      <c r="W931">
        <v>806</v>
      </c>
      <c r="X931">
        <v>10</v>
      </c>
      <c r="Y931" t="s">
        <v>1727</v>
      </c>
    </row>
    <row r="932" spans="1:25">
      <c r="A932" t="s">
        <v>1736</v>
      </c>
      <c r="B932" s="2" t="str">
        <f>Hyperlink("https://www.diodes.com/datasheet/download/DMP2039UFDE.pdf")</f>
        <v>https://www.diodes.com/datasheet/download/DMP2039UFDE.pdf</v>
      </c>
      <c r="C932" t="str">
        <f>Hyperlink("https://www.diodes.com/part/view/DMP2039UFDE","DMP2039UFDE")</f>
        <v>DMP2039UFDE</v>
      </c>
      <c r="D932" t="s">
        <v>74</v>
      </c>
      <c r="E932" t="s">
        <v>27</v>
      </c>
      <c r="F932" t="s">
        <v>28</v>
      </c>
      <c r="G932" t="s">
        <v>75</v>
      </c>
      <c r="H932" t="s">
        <v>27</v>
      </c>
      <c r="I932">
        <v>25</v>
      </c>
      <c r="J932">
        <v>8</v>
      </c>
      <c r="K932">
        <v>6.7</v>
      </c>
      <c r="M932">
        <v>2</v>
      </c>
      <c r="P932">
        <v>27</v>
      </c>
      <c r="Q932">
        <v>34</v>
      </c>
      <c r="R932">
        <v>40</v>
      </c>
      <c r="S932">
        <v>0.4</v>
      </c>
      <c r="T932">
        <v>1</v>
      </c>
      <c r="U932">
        <v>28.2</v>
      </c>
      <c r="V932" t="s">
        <v>1737</v>
      </c>
      <c r="W932">
        <v>2530</v>
      </c>
      <c r="X932">
        <v>15</v>
      </c>
      <c r="Y932" t="s">
        <v>778</v>
      </c>
    </row>
    <row r="933" spans="1:25">
      <c r="A933" t="s">
        <v>1738</v>
      </c>
      <c r="B933" s="2" t="str">
        <f>Hyperlink("https://www.diodes.com/datasheet/download/DMP2039UFDE4.pdf")</f>
        <v>https://www.diodes.com/datasheet/download/DMP2039UFDE4.pdf</v>
      </c>
      <c r="C933" t="str">
        <f>Hyperlink("https://www.diodes.com/part/view/DMP2039UFDE4","DMP2039UFDE4")</f>
        <v>DMP2039UFDE4</v>
      </c>
      <c r="D933" t="s">
        <v>74</v>
      </c>
      <c r="E933" t="s">
        <v>27</v>
      </c>
      <c r="F933" t="s">
        <v>28</v>
      </c>
      <c r="G933" t="s">
        <v>75</v>
      </c>
      <c r="H933" t="s">
        <v>27</v>
      </c>
      <c r="I933">
        <v>25</v>
      </c>
      <c r="J933">
        <v>8</v>
      </c>
      <c r="K933">
        <v>7.3</v>
      </c>
      <c r="M933">
        <v>2.4</v>
      </c>
      <c r="P933">
        <v>26</v>
      </c>
      <c r="Q933">
        <v>33</v>
      </c>
      <c r="R933">
        <v>40</v>
      </c>
      <c r="S933">
        <v>0.4</v>
      </c>
      <c r="T933">
        <v>1</v>
      </c>
      <c r="U933">
        <v>28.2</v>
      </c>
      <c r="W933">
        <v>2530</v>
      </c>
      <c r="X933">
        <v>15</v>
      </c>
      <c r="Y933" t="s">
        <v>1739</v>
      </c>
    </row>
    <row r="934" spans="1:25">
      <c r="A934" t="s">
        <v>1740</v>
      </c>
      <c r="B934" s="2" t="str">
        <f>Hyperlink("https://www.diodes.com/datasheet/download/DMP2040UFDF.pdf")</f>
        <v>https://www.diodes.com/datasheet/download/DMP2040UFDF.pdf</v>
      </c>
      <c r="C934" t="str">
        <f>Hyperlink("https://www.diodes.com/part/view/DMP2040UFDF","DMP2040UFDF")</f>
        <v>DMP2040UFDF</v>
      </c>
      <c r="D934" t="s">
        <v>74</v>
      </c>
      <c r="E934" t="s">
        <v>30</v>
      </c>
      <c r="F934" t="s">
        <v>28</v>
      </c>
      <c r="G934" t="s">
        <v>75</v>
      </c>
      <c r="H934" t="s">
        <v>30</v>
      </c>
      <c r="I934">
        <v>20</v>
      </c>
      <c r="J934">
        <v>12</v>
      </c>
      <c r="K934">
        <v>6.1</v>
      </c>
      <c r="L934">
        <v>13</v>
      </c>
      <c r="M934">
        <v>1.8</v>
      </c>
      <c r="P934">
        <v>32</v>
      </c>
      <c r="Q934">
        <v>53</v>
      </c>
      <c r="S934">
        <v>0.6</v>
      </c>
      <c r="T934">
        <v>1.5</v>
      </c>
      <c r="U934">
        <v>8.6</v>
      </c>
      <c r="V934" t="s">
        <v>1741</v>
      </c>
      <c r="W934">
        <v>834</v>
      </c>
      <c r="X934">
        <v>10</v>
      </c>
      <c r="Y934" t="s">
        <v>780</v>
      </c>
    </row>
    <row r="935" spans="1:25">
      <c r="A935" t="s">
        <v>1742</v>
      </c>
      <c r="B935" s="2" t="str">
        <f>Hyperlink("https://www.diodes.com/datasheet/download/DMP2040UND.pdf")</f>
        <v>https://www.diodes.com/datasheet/download/DMP2040UND.pdf</v>
      </c>
      <c r="C935" t="str">
        <f>Hyperlink("https://www.diodes.com/part/view/DMP2040UND","DMP2040UND")</f>
        <v>DMP2040UND</v>
      </c>
      <c r="D935" t="s">
        <v>127</v>
      </c>
      <c r="E935" t="s">
        <v>30</v>
      </c>
      <c r="F935" t="s">
        <v>28</v>
      </c>
      <c r="G935" t="s">
        <v>124</v>
      </c>
      <c r="H935" t="s">
        <v>30</v>
      </c>
      <c r="I935">
        <v>20</v>
      </c>
      <c r="J935">
        <v>12</v>
      </c>
      <c r="K935">
        <v>5.3</v>
      </c>
      <c r="M935">
        <v>1.4</v>
      </c>
      <c r="P935">
        <v>36</v>
      </c>
      <c r="Q935">
        <v>60</v>
      </c>
      <c r="T935">
        <v>1.5</v>
      </c>
      <c r="U935">
        <v>9.6</v>
      </c>
      <c r="V935">
        <v>20</v>
      </c>
      <c r="Y935" t="s">
        <v>718</v>
      </c>
    </row>
    <row r="936" spans="1:25">
      <c r="A936" t="s">
        <v>1743</v>
      </c>
      <c r="B936" s="2" t="str">
        <f>Hyperlink("https://www.diodes.com/datasheet/download/DMP2040USD.pdf")</f>
        <v>https://www.diodes.com/datasheet/download/DMP2040USD.pdf</v>
      </c>
      <c r="C936" t="str">
        <f>Hyperlink("https://www.diodes.com/part/view/DMP2040USD","DMP2040USD")</f>
        <v>DMP2040USD</v>
      </c>
      <c r="D936" t="s">
        <v>1744</v>
      </c>
      <c r="E936" t="s">
        <v>30</v>
      </c>
      <c r="F936" t="s">
        <v>28</v>
      </c>
      <c r="G936" t="s">
        <v>124</v>
      </c>
      <c r="H936" t="s">
        <v>30</v>
      </c>
      <c r="I936">
        <v>20</v>
      </c>
      <c r="J936">
        <v>12</v>
      </c>
      <c r="K936">
        <v>6.5</v>
      </c>
      <c r="M936">
        <v>1.6</v>
      </c>
      <c r="P936">
        <v>33</v>
      </c>
      <c r="Q936">
        <v>52</v>
      </c>
      <c r="S936">
        <v>0.6</v>
      </c>
      <c r="T936">
        <v>1.5</v>
      </c>
      <c r="U936">
        <v>8.6</v>
      </c>
      <c r="V936" t="s">
        <v>1741</v>
      </c>
      <c r="W936">
        <v>834</v>
      </c>
      <c r="X936">
        <v>10</v>
      </c>
      <c r="Y936" t="s">
        <v>213</v>
      </c>
    </row>
    <row r="937" spans="1:25">
      <c r="A937" t="s">
        <v>1745</v>
      </c>
      <c r="B937" s="2" t="str">
        <f>Hyperlink("https://www.diodes.com/datasheet/download/DMP2040USS.pdf")</f>
        <v>https://www.diodes.com/datasheet/download/DMP2040USS.pdf</v>
      </c>
      <c r="C937" t="str">
        <f>Hyperlink("https://www.diodes.com/part/view/DMP2040USS","DMP2040USS")</f>
        <v>DMP2040USS</v>
      </c>
      <c r="D937" t="s">
        <v>636</v>
      </c>
      <c r="E937" t="s">
        <v>30</v>
      </c>
      <c r="F937" t="s">
        <v>28</v>
      </c>
      <c r="G937" t="s">
        <v>75</v>
      </c>
      <c r="H937" t="s">
        <v>30</v>
      </c>
      <c r="I937">
        <v>20</v>
      </c>
      <c r="J937">
        <v>12</v>
      </c>
      <c r="K937">
        <v>7</v>
      </c>
      <c r="M937">
        <v>1.9</v>
      </c>
      <c r="P937">
        <v>33</v>
      </c>
      <c r="Q937">
        <v>52</v>
      </c>
      <c r="S937">
        <v>0.6</v>
      </c>
      <c r="T937">
        <v>1.5</v>
      </c>
      <c r="U937">
        <v>8.6</v>
      </c>
      <c r="V937" t="s">
        <v>1741</v>
      </c>
      <c r="W937">
        <v>834</v>
      </c>
      <c r="X937">
        <v>10</v>
      </c>
      <c r="Y937" t="s">
        <v>213</v>
      </c>
    </row>
    <row r="938" spans="1:25">
      <c r="A938" t="s">
        <v>1746</v>
      </c>
      <c r="B938" s="2" t="str">
        <f>Hyperlink("https://www.diodes.com/datasheet/download/DMP2040UVT.pdf")</f>
        <v>https://www.diodes.com/datasheet/download/DMP2040UVT.pdf</v>
      </c>
      <c r="C938" t="str">
        <f>Hyperlink("https://www.diodes.com/part/view/DMP2040UVT","DMP2040UVT")</f>
        <v>DMP2040UVT</v>
      </c>
      <c r="D938" t="s">
        <v>74</v>
      </c>
      <c r="E938" t="s">
        <v>30</v>
      </c>
      <c r="F938" t="s">
        <v>28</v>
      </c>
      <c r="G938" t="s">
        <v>75</v>
      </c>
      <c r="H938" t="s">
        <v>30</v>
      </c>
      <c r="I938">
        <v>20</v>
      </c>
      <c r="J938">
        <v>12</v>
      </c>
      <c r="K938">
        <v>5.5</v>
      </c>
      <c r="M938">
        <v>1.5</v>
      </c>
      <c r="P938">
        <v>38</v>
      </c>
      <c r="Q938">
        <v>52</v>
      </c>
      <c r="S938">
        <v>0.6</v>
      </c>
      <c r="T938">
        <v>1.5</v>
      </c>
      <c r="U938">
        <v>8.6</v>
      </c>
      <c r="V938" t="s">
        <v>1741</v>
      </c>
      <c r="W938">
        <v>834</v>
      </c>
      <c r="X938">
        <v>10</v>
      </c>
      <c r="Y938" t="s">
        <v>183</v>
      </c>
    </row>
    <row r="939" spans="1:25">
      <c r="A939" t="s">
        <v>1747</v>
      </c>
      <c r="B939" s="2" t="str">
        <f>Hyperlink("https://www.diodes.com/datasheet/download/DMP2040UVTQ.pdf")</f>
        <v>https://www.diodes.com/datasheet/download/DMP2040UVTQ.pdf</v>
      </c>
      <c r="C939" t="str">
        <f>Hyperlink("https://www.diodes.com/part/view/DMP2040UVTQ","DMP2040UVTQ")</f>
        <v>DMP2040UVTQ</v>
      </c>
      <c r="D939" t="s">
        <v>1645</v>
      </c>
      <c r="E939" t="s">
        <v>27</v>
      </c>
      <c r="F939" t="s">
        <v>37</v>
      </c>
      <c r="G939" t="s">
        <v>75</v>
      </c>
      <c r="H939" t="s">
        <v>30</v>
      </c>
      <c r="I939">
        <v>20</v>
      </c>
      <c r="J939">
        <v>12</v>
      </c>
      <c r="K939">
        <v>5.5</v>
      </c>
      <c r="M939">
        <v>1.5</v>
      </c>
      <c r="P939">
        <v>38</v>
      </c>
      <c r="Q939">
        <v>52</v>
      </c>
      <c r="S939">
        <v>0.6</v>
      </c>
      <c r="T939">
        <v>1.5</v>
      </c>
      <c r="U939">
        <v>8.6</v>
      </c>
      <c r="W939">
        <v>834</v>
      </c>
      <c r="X939">
        <v>10</v>
      </c>
      <c r="Y939" t="s">
        <v>183</v>
      </c>
    </row>
    <row r="940" spans="1:25">
      <c r="A940" t="s">
        <v>1748</v>
      </c>
      <c r="B940" s="2" t="str">
        <f>Hyperlink("https://www.diodes.com/datasheet/download/DMP2042UCP4.pdf")</f>
        <v>https://www.diodes.com/datasheet/download/DMP2042UCP4.pdf</v>
      </c>
      <c r="C940" t="str">
        <f>Hyperlink("https://www.diodes.com/part/view/DMP2042UCP4","DMP2042UCP4")</f>
        <v>DMP2042UCP4</v>
      </c>
      <c r="D940" t="s">
        <v>74</v>
      </c>
      <c r="E940" t="s">
        <v>30</v>
      </c>
      <c r="F940" t="s">
        <v>28</v>
      </c>
      <c r="G940" t="s">
        <v>75</v>
      </c>
      <c r="H940" t="s">
        <v>27</v>
      </c>
      <c r="I940">
        <v>20</v>
      </c>
      <c r="J940">
        <v>6</v>
      </c>
      <c r="K940">
        <v>3.4</v>
      </c>
      <c r="M940">
        <v>0.86</v>
      </c>
      <c r="P940">
        <v>48</v>
      </c>
      <c r="Q940">
        <v>65</v>
      </c>
      <c r="S940">
        <v>0.4</v>
      </c>
      <c r="T940">
        <v>1.2</v>
      </c>
      <c r="U940">
        <v>2.5</v>
      </c>
      <c r="W940">
        <v>218</v>
      </c>
      <c r="X940">
        <v>10</v>
      </c>
      <c r="Y940" t="s">
        <v>1749</v>
      </c>
    </row>
    <row r="941" spans="1:25">
      <c r="A941" t="s">
        <v>1750</v>
      </c>
      <c r="B941" s="2" t="str">
        <f>Hyperlink("https://www.diodes.com/datasheet/download/DMP2043UCA3.pdf")</f>
        <v>https://www.diodes.com/datasheet/download/DMP2043UCA3.pdf</v>
      </c>
      <c r="C941" t="str">
        <f>Hyperlink("https://www.diodes.com/part/view/DMP2043UCA3","DMP2043UCA3")</f>
        <v>DMP2043UCA3</v>
      </c>
      <c r="D941" t="s">
        <v>74</v>
      </c>
      <c r="E941" t="s">
        <v>30</v>
      </c>
      <c r="F941" t="s">
        <v>28</v>
      </c>
      <c r="G941" t="s">
        <v>75</v>
      </c>
      <c r="H941" t="s">
        <v>27</v>
      </c>
      <c r="I941">
        <v>20</v>
      </c>
      <c r="J941">
        <v>20</v>
      </c>
      <c r="K941">
        <v>4.2</v>
      </c>
      <c r="M941">
        <v>1.3</v>
      </c>
      <c r="P941">
        <v>45</v>
      </c>
      <c r="Q941">
        <v>62</v>
      </c>
      <c r="S941">
        <v>0.4</v>
      </c>
      <c r="T941">
        <v>1.2</v>
      </c>
      <c r="U941">
        <v>1.46</v>
      </c>
      <c r="W941">
        <v>327</v>
      </c>
      <c r="X941">
        <v>10</v>
      </c>
      <c r="Y941" t="s">
        <v>1751</v>
      </c>
    </row>
    <row r="942" spans="1:25">
      <c r="A942" t="s">
        <v>1752</v>
      </c>
      <c r="B942" s="2" t="str">
        <f>Hyperlink("https://www.diodes.com/datasheet/download/DMP2045U.pdf")</f>
        <v>https://www.diodes.com/datasheet/download/DMP2045U.pdf</v>
      </c>
      <c r="C942" t="str">
        <f>Hyperlink("https://www.diodes.com/part/view/DMP2045U","DMP2045U")</f>
        <v>DMP2045U</v>
      </c>
      <c r="D942" t="s">
        <v>74</v>
      </c>
      <c r="E942" t="s">
        <v>30</v>
      </c>
      <c r="F942" t="s">
        <v>28</v>
      </c>
      <c r="G942" t="s">
        <v>75</v>
      </c>
      <c r="H942" t="s">
        <v>27</v>
      </c>
      <c r="I942">
        <v>20</v>
      </c>
      <c r="J942">
        <v>8</v>
      </c>
      <c r="K942">
        <v>4.3</v>
      </c>
      <c r="M942">
        <v>1.2</v>
      </c>
      <c r="P942">
        <v>45</v>
      </c>
      <c r="Q942">
        <v>58</v>
      </c>
      <c r="R942">
        <v>90</v>
      </c>
      <c r="S942">
        <v>0.3</v>
      </c>
      <c r="T942">
        <v>1</v>
      </c>
      <c r="U942">
        <v>6.8</v>
      </c>
      <c r="W942">
        <v>634</v>
      </c>
      <c r="X942">
        <v>10</v>
      </c>
      <c r="Y942" t="s">
        <v>35</v>
      </c>
    </row>
    <row r="943" spans="1:25">
      <c r="A943" t="s">
        <v>1753</v>
      </c>
      <c r="B943" s="2" t="str">
        <f>Hyperlink("https://www.diodes.com/datasheet/download/DMP2045UFDB.pdf")</f>
        <v>https://www.diodes.com/datasheet/download/DMP2045UFDB.pdf</v>
      </c>
      <c r="C943" t="str">
        <f>Hyperlink("https://www.diodes.com/part/view/DMP2045UFDB","DMP2045UFDB")</f>
        <v>DMP2045UFDB</v>
      </c>
      <c r="D943" t="s">
        <v>1754</v>
      </c>
      <c r="E943" t="s">
        <v>30</v>
      </c>
      <c r="F943" t="s">
        <v>28</v>
      </c>
      <c r="G943" t="s">
        <v>124</v>
      </c>
      <c r="H943" t="s">
        <v>27</v>
      </c>
      <c r="I943">
        <v>20</v>
      </c>
      <c r="J943">
        <v>8</v>
      </c>
      <c r="K943">
        <v>3.1</v>
      </c>
      <c r="M943">
        <v>1.29</v>
      </c>
      <c r="P943">
        <v>90</v>
      </c>
      <c r="Q943">
        <v>120</v>
      </c>
      <c r="S943">
        <v>0.3</v>
      </c>
      <c r="T943">
        <v>1</v>
      </c>
      <c r="U943">
        <v>6.8</v>
      </c>
      <c r="W943">
        <v>634</v>
      </c>
      <c r="X943">
        <v>10</v>
      </c>
      <c r="Y943" t="s">
        <v>179</v>
      </c>
    </row>
    <row r="944" spans="1:25">
      <c r="A944" t="s">
        <v>1755</v>
      </c>
      <c r="B944" s="2" t="str">
        <f>Hyperlink("https://www.diodes.com/datasheet/download/DMP2045UFY4.pdf")</f>
        <v>https://www.diodes.com/datasheet/download/DMP2045UFY4.pdf</v>
      </c>
      <c r="C944" t="str">
        <f>Hyperlink("https://www.diodes.com/part/view/DMP2045UFY4","DMP2045UFY4")</f>
        <v>DMP2045UFY4</v>
      </c>
      <c r="D944" t="s">
        <v>636</v>
      </c>
      <c r="E944" t="s">
        <v>27</v>
      </c>
      <c r="F944" t="s">
        <v>28</v>
      </c>
      <c r="G944" t="s">
        <v>75</v>
      </c>
      <c r="H944" t="s">
        <v>30</v>
      </c>
      <c r="I944">
        <v>20</v>
      </c>
      <c r="J944">
        <v>8</v>
      </c>
      <c r="K944">
        <v>4.7</v>
      </c>
      <c r="M944">
        <v>1.49</v>
      </c>
      <c r="P944">
        <v>45</v>
      </c>
      <c r="Q944">
        <v>58</v>
      </c>
      <c r="R944">
        <v>90</v>
      </c>
      <c r="S944">
        <v>0.3</v>
      </c>
      <c r="T944">
        <v>1</v>
      </c>
      <c r="U944">
        <v>6.8</v>
      </c>
      <c r="W944">
        <v>634</v>
      </c>
      <c r="X944">
        <v>10</v>
      </c>
      <c r="Y944" t="s">
        <v>673</v>
      </c>
    </row>
    <row r="945" spans="1:25">
      <c r="A945" t="s">
        <v>1756</v>
      </c>
      <c r="B945" s="2" t="str">
        <f>Hyperlink("https://www.diodes.com/datasheet/download/DMP2045UQ.pdf")</f>
        <v>https://www.diodes.com/datasheet/download/DMP2045UQ.pdf</v>
      </c>
      <c r="C945" t="str">
        <f>Hyperlink("https://www.diodes.com/part/view/DMP2045UQ","DMP2045UQ")</f>
        <v>DMP2045UQ</v>
      </c>
      <c r="D945" t="s">
        <v>74</v>
      </c>
      <c r="E945" t="s">
        <v>27</v>
      </c>
      <c r="F945" t="s">
        <v>37</v>
      </c>
      <c r="G945" t="s">
        <v>75</v>
      </c>
      <c r="H945" t="s">
        <v>27</v>
      </c>
      <c r="I945">
        <v>20</v>
      </c>
      <c r="J945">
        <v>8</v>
      </c>
      <c r="K945">
        <v>4.3</v>
      </c>
      <c r="M945">
        <v>1.2</v>
      </c>
      <c r="P945">
        <v>45</v>
      </c>
      <c r="Q945">
        <v>58</v>
      </c>
      <c r="R945">
        <v>90</v>
      </c>
      <c r="S945">
        <v>0.3</v>
      </c>
      <c r="T945">
        <v>1</v>
      </c>
      <c r="U945">
        <v>6.8</v>
      </c>
      <c r="W945">
        <v>634</v>
      </c>
      <c r="X945">
        <v>10</v>
      </c>
      <c r="Y945" t="s">
        <v>35</v>
      </c>
    </row>
    <row r="946" spans="1:25">
      <c r="A946" t="s">
        <v>1757</v>
      </c>
      <c r="B946" s="2" t="str">
        <f>Hyperlink("https://www.diodes.com/datasheet/download/DMP2047UCB4.pdf")</f>
        <v>https://www.diodes.com/datasheet/download/DMP2047UCB4.pdf</v>
      </c>
      <c r="C946" t="str">
        <f>Hyperlink("https://www.diodes.com/part/view/DMP2047UCB4","DMP2047UCB4")</f>
        <v>DMP2047UCB4</v>
      </c>
      <c r="D946" t="s">
        <v>74</v>
      </c>
      <c r="E946" t="s">
        <v>27</v>
      </c>
      <c r="F946" t="s">
        <v>28</v>
      </c>
      <c r="G946" t="s">
        <v>75</v>
      </c>
      <c r="H946" t="s">
        <v>27</v>
      </c>
      <c r="I946">
        <v>20</v>
      </c>
      <c r="J946">
        <v>6</v>
      </c>
      <c r="K946">
        <v>4.1</v>
      </c>
      <c r="M946">
        <v>1.6</v>
      </c>
      <c r="P946">
        <v>47</v>
      </c>
      <c r="Q946">
        <v>60</v>
      </c>
      <c r="S946">
        <v>0.4</v>
      </c>
      <c r="T946">
        <v>1.2</v>
      </c>
      <c r="U946">
        <v>2.3</v>
      </c>
      <c r="W946">
        <v>218</v>
      </c>
      <c r="X946">
        <v>10</v>
      </c>
      <c r="Y946" t="s">
        <v>1758</v>
      </c>
    </row>
    <row r="947" spans="1:25">
      <c r="A947" t="s">
        <v>1759</v>
      </c>
      <c r="B947" s="2" t="str">
        <f>Hyperlink("https://www.diodes.com/datasheet/download/DMP2056UCA4.pdf")</f>
        <v>https://www.diodes.com/datasheet/download/DMP2056UCA4.pdf</v>
      </c>
      <c r="C947" t="str">
        <f>Hyperlink("https://www.diodes.com/part/view/DMP2056UCA4","DMP2056UCA4")</f>
        <v>DMP2056UCA4</v>
      </c>
      <c r="D947" t="s">
        <v>1645</v>
      </c>
      <c r="E947" t="s">
        <v>27</v>
      </c>
      <c r="F947" t="s">
        <v>28</v>
      </c>
      <c r="G947" t="s">
        <v>75</v>
      </c>
      <c r="H947" t="s">
        <v>27</v>
      </c>
      <c r="I947">
        <v>20</v>
      </c>
      <c r="J947">
        <v>8</v>
      </c>
      <c r="K947">
        <v>4.4</v>
      </c>
      <c r="M947">
        <v>1.87</v>
      </c>
      <c r="P947">
        <v>64</v>
      </c>
      <c r="Q947">
        <v>80</v>
      </c>
      <c r="R947">
        <v>130</v>
      </c>
      <c r="S947">
        <v>0.4</v>
      </c>
      <c r="T947">
        <v>1.1</v>
      </c>
      <c r="U947">
        <v>4.9</v>
      </c>
      <c r="V947" t="s">
        <v>1760</v>
      </c>
      <c r="W947">
        <v>437</v>
      </c>
      <c r="X947">
        <v>10</v>
      </c>
      <c r="Y947" t="s">
        <v>1761</v>
      </c>
    </row>
    <row r="948" spans="1:25">
      <c r="A948" t="s">
        <v>1762</v>
      </c>
      <c r="B948" s="2" t="str">
        <f>Hyperlink("https://www.diodes.com/datasheet/download/DMP2065U.pdf")</f>
        <v>https://www.diodes.com/datasheet/download/DMP2065U.pdf</v>
      </c>
      <c r="C948" t="str">
        <f>Hyperlink("https://www.diodes.com/part/view/DMP2065U","DMP2065U")</f>
        <v>DMP2065U</v>
      </c>
      <c r="D948" t="s">
        <v>636</v>
      </c>
      <c r="E948" t="s">
        <v>30</v>
      </c>
      <c r="F948" t="s">
        <v>28</v>
      </c>
      <c r="G948" t="s">
        <v>75</v>
      </c>
      <c r="H948" t="s">
        <v>30</v>
      </c>
      <c r="I948">
        <v>20</v>
      </c>
      <c r="J948">
        <v>12</v>
      </c>
      <c r="K948">
        <v>4</v>
      </c>
      <c r="M948">
        <v>1.5</v>
      </c>
      <c r="P948">
        <v>60</v>
      </c>
      <c r="Q948">
        <v>90</v>
      </c>
      <c r="R948">
        <v>113</v>
      </c>
      <c r="T948">
        <v>0.9</v>
      </c>
      <c r="U948">
        <v>10.2</v>
      </c>
      <c r="Y948" t="s">
        <v>35</v>
      </c>
    </row>
    <row r="949" spans="1:25">
      <c r="A949" t="s">
        <v>1763</v>
      </c>
      <c r="B949" s="2" t="str">
        <f>Hyperlink("https://www.diodes.com/datasheet/download/DMP2065UFDB.pdf")</f>
        <v>https://www.diodes.com/datasheet/download/DMP2065UFDB.pdf</v>
      </c>
      <c r="C949" t="str">
        <f>Hyperlink("https://www.diodes.com/part/view/DMP2065UFDB","DMP2065UFDB")</f>
        <v>DMP2065UFDB</v>
      </c>
      <c r="D949" t="s">
        <v>127</v>
      </c>
      <c r="E949" t="s">
        <v>27</v>
      </c>
      <c r="F949" t="s">
        <v>28</v>
      </c>
      <c r="G949" t="s">
        <v>124</v>
      </c>
      <c r="H949" t="s">
        <v>30</v>
      </c>
      <c r="I949">
        <v>20</v>
      </c>
      <c r="J949">
        <v>12</v>
      </c>
      <c r="K949">
        <v>4.5</v>
      </c>
      <c r="M949">
        <v>1.54</v>
      </c>
      <c r="P949">
        <v>50</v>
      </c>
      <c r="Q949">
        <v>100</v>
      </c>
      <c r="R949">
        <v>150</v>
      </c>
      <c r="S949">
        <v>0.4</v>
      </c>
      <c r="T949">
        <v>1</v>
      </c>
      <c r="U949">
        <v>9.1</v>
      </c>
      <c r="W949">
        <v>752</v>
      </c>
      <c r="X949">
        <v>15</v>
      </c>
      <c r="Y949" t="s">
        <v>179</v>
      </c>
    </row>
    <row r="950" spans="1:25">
      <c r="A950" t="s">
        <v>1764</v>
      </c>
      <c r="B950" s="2" t="str">
        <f>Hyperlink("https://www.diodes.com/datasheet/download/DMP2065UQ.pdf")</f>
        <v>https://www.diodes.com/datasheet/download/DMP2065UQ.pdf</v>
      </c>
      <c r="C950" t="str">
        <f>Hyperlink("https://www.diodes.com/part/view/DMP2065UQ","DMP2065UQ")</f>
        <v>DMP2065UQ</v>
      </c>
      <c r="D950" t="s">
        <v>636</v>
      </c>
      <c r="E950" t="s">
        <v>27</v>
      </c>
      <c r="F950" t="s">
        <v>37</v>
      </c>
      <c r="G950" t="s">
        <v>75</v>
      </c>
      <c r="H950" t="s">
        <v>30</v>
      </c>
      <c r="I950">
        <v>20</v>
      </c>
      <c r="J950">
        <v>12</v>
      </c>
      <c r="K950">
        <v>4</v>
      </c>
      <c r="M950">
        <v>1.5</v>
      </c>
      <c r="P950">
        <v>60</v>
      </c>
      <c r="Q950">
        <v>90</v>
      </c>
      <c r="R950">
        <v>113</v>
      </c>
      <c r="T950">
        <v>0.9</v>
      </c>
      <c r="U950">
        <v>10.2</v>
      </c>
      <c r="Y950" t="s">
        <v>35</v>
      </c>
    </row>
    <row r="951" spans="1:25">
      <c r="A951" t="s">
        <v>1765</v>
      </c>
      <c r="B951" s="2" t="str">
        <f>Hyperlink("https://www.diodes.com/datasheet/download/DMP2066LSN.pdf")</f>
        <v>https://www.diodes.com/datasheet/download/DMP2066LSN.pdf</v>
      </c>
      <c r="C951" t="str">
        <f>Hyperlink("https://www.diodes.com/part/view/DMP2066LSN","DMP2066LSN")</f>
        <v>DMP2066LSN</v>
      </c>
      <c r="D951" t="s">
        <v>74</v>
      </c>
      <c r="E951" t="s">
        <v>27</v>
      </c>
      <c r="F951" t="s">
        <v>28</v>
      </c>
      <c r="G951" t="s">
        <v>75</v>
      </c>
      <c r="H951" t="s">
        <v>30</v>
      </c>
      <c r="I951">
        <v>20</v>
      </c>
      <c r="J951">
        <v>12</v>
      </c>
      <c r="K951">
        <v>4.6</v>
      </c>
      <c r="M951">
        <v>1.25</v>
      </c>
      <c r="P951">
        <v>40</v>
      </c>
      <c r="Q951">
        <v>70</v>
      </c>
      <c r="S951">
        <v>0.6</v>
      </c>
      <c r="T951">
        <v>1.2</v>
      </c>
      <c r="U951">
        <v>10.1</v>
      </c>
      <c r="W951">
        <v>820</v>
      </c>
      <c r="X951">
        <v>15</v>
      </c>
      <c r="Y951" t="s">
        <v>98</v>
      </c>
    </row>
    <row r="952" spans="1:25">
      <c r="A952" t="s">
        <v>1766</v>
      </c>
      <c r="B952" s="2" t="str">
        <f>Hyperlink("https://www.diodes.com/datasheet/download/DMP2066LVT.pdf")</f>
        <v>https://www.diodes.com/datasheet/download/DMP2066LVT.pdf</v>
      </c>
      <c r="C952" t="str">
        <f>Hyperlink("https://www.diodes.com/part/view/DMP2066LVT","DMP2066LVT")</f>
        <v>DMP2066LVT</v>
      </c>
      <c r="D952" t="s">
        <v>74</v>
      </c>
      <c r="E952" t="s">
        <v>27</v>
      </c>
      <c r="F952" t="s">
        <v>28</v>
      </c>
      <c r="G952" t="s">
        <v>75</v>
      </c>
      <c r="H952" t="s">
        <v>30</v>
      </c>
      <c r="I952">
        <v>20</v>
      </c>
      <c r="J952">
        <v>8</v>
      </c>
      <c r="K952">
        <v>4.5</v>
      </c>
      <c r="M952">
        <v>1.8</v>
      </c>
      <c r="P952">
        <v>45</v>
      </c>
      <c r="Q952">
        <v>65</v>
      </c>
      <c r="S952">
        <v>0.4</v>
      </c>
      <c r="T952">
        <v>1.5</v>
      </c>
      <c r="U952">
        <v>14.4</v>
      </c>
      <c r="W952">
        <v>1496</v>
      </c>
      <c r="X952">
        <v>15</v>
      </c>
      <c r="Y952" t="s">
        <v>183</v>
      </c>
    </row>
    <row r="953" spans="1:25">
      <c r="A953" t="s">
        <v>1767</v>
      </c>
      <c r="B953" s="2" t="str">
        <f>Hyperlink("https://www.diodes.com/datasheet/download/DMP2066UFDE.pdf")</f>
        <v>https://www.diodes.com/datasheet/download/DMP2066UFDE.pdf</v>
      </c>
      <c r="C953" t="str">
        <f>Hyperlink("https://www.diodes.com/part/view/DMP2066UFDE","DMP2066UFDE")</f>
        <v>DMP2066UFDE</v>
      </c>
      <c r="D953" t="s">
        <v>74</v>
      </c>
      <c r="E953" t="s">
        <v>27</v>
      </c>
      <c r="F953" t="s">
        <v>28</v>
      </c>
      <c r="G953" t="s">
        <v>75</v>
      </c>
      <c r="H953" t="s">
        <v>30</v>
      </c>
      <c r="I953">
        <v>20</v>
      </c>
      <c r="J953">
        <v>12</v>
      </c>
      <c r="K953">
        <v>6.2</v>
      </c>
      <c r="M953">
        <v>2.03</v>
      </c>
      <c r="P953">
        <v>36</v>
      </c>
      <c r="Q953">
        <v>56</v>
      </c>
      <c r="R953">
        <v>75</v>
      </c>
      <c r="S953">
        <v>0.4</v>
      </c>
      <c r="T953">
        <v>1.1</v>
      </c>
      <c r="U953">
        <v>14.4</v>
      </c>
      <c r="W953">
        <v>1537</v>
      </c>
      <c r="X953">
        <v>10</v>
      </c>
      <c r="Y953" t="s">
        <v>778</v>
      </c>
    </row>
    <row r="954" spans="1:25">
      <c r="A954" t="s">
        <v>1768</v>
      </c>
      <c r="B954" s="2" t="str">
        <f>Hyperlink("https://www.diodes.com/datasheet/download/DMP2067LSS.pdf")</f>
        <v>https://www.diodes.com/datasheet/download/DMP2067LSS.pdf</v>
      </c>
      <c r="C954" t="str">
        <f>Hyperlink("https://www.diodes.com/part/view/DMP2067LSS","DMP2067LSS")</f>
        <v>DMP2067LSS</v>
      </c>
      <c r="D954" t="s">
        <v>74</v>
      </c>
      <c r="E954" t="s">
        <v>30</v>
      </c>
      <c r="F954" t="s">
        <v>28</v>
      </c>
      <c r="G954" t="s">
        <v>75</v>
      </c>
      <c r="H954" t="s">
        <v>30</v>
      </c>
      <c r="I954">
        <v>30</v>
      </c>
      <c r="J954">
        <v>20</v>
      </c>
      <c r="K954">
        <v>5.4</v>
      </c>
      <c r="L954">
        <v>12.9</v>
      </c>
      <c r="M954">
        <v>2</v>
      </c>
      <c r="P954">
        <v>38</v>
      </c>
      <c r="Q954">
        <v>56</v>
      </c>
      <c r="S954">
        <v>0.5</v>
      </c>
      <c r="T954">
        <v>1.5</v>
      </c>
      <c r="U954">
        <v>27.9</v>
      </c>
      <c r="V954" t="s">
        <v>1769</v>
      </c>
      <c r="W954">
        <v>1575</v>
      </c>
      <c r="X954">
        <v>10</v>
      </c>
      <c r="Y954" t="s">
        <v>213</v>
      </c>
    </row>
    <row r="955" spans="1:25">
      <c r="A955" t="s">
        <v>1770</v>
      </c>
      <c r="B955" s="2" t="str">
        <f>Hyperlink("https://www.diodes.com/datasheet/download/DMP2067LVT.pdf")</f>
        <v>https://www.diodes.com/datasheet/download/DMP2067LVT.pdf</v>
      </c>
      <c r="C955" t="str">
        <f>Hyperlink("https://www.diodes.com/part/view/DMP2067LVT","DMP2067LVT")</f>
        <v>DMP2067LVT</v>
      </c>
      <c r="D955" t="s">
        <v>74</v>
      </c>
      <c r="E955" t="s">
        <v>30</v>
      </c>
      <c r="F955" t="s">
        <v>28</v>
      </c>
      <c r="G955" t="s">
        <v>75</v>
      </c>
      <c r="H955" t="s">
        <v>30</v>
      </c>
      <c r="I955">
        <v>20</v>
      </c>
      <c r="J955">
        <v>8</v>
      </c>
      <c r="K955">
        <v>4.2</v>
      </c>
      <c r="M955">
        <v>1.6</v>
      </c>
      <c r="P955">
        <v>45</v>
      </c>
      <c r="Q955">
        <v>65</v>
      </c>
      <c r="S955">
        <v>0.4</v>
      </c>
      <c r="T955">
        <v>1.5</v>
      </c>
      <c r="U955">
        <v>15</v>
      </c>
      <c r="V955" t="s">
        <v>1771</v>
      </c>
      <c r="W955">
        <v>1575</v>
      </c>
      <c r="X955">
        <v>10</v>
      </c>
      <c r="Y955" t="s">
        <v>183</v>
      </c>
    </row>
    <row r="956" spans="1:25">
      <c r="A956" t="s">
        <v>1772</v>
      </c>
      <c r="B956" s="2" t="str">
        <f>Hyperlink("https://www.diodes.com/datasheet/download/DMP2067LVTQ.pdf")</f>
        <v>https://www.diodes.com/datasheet/download/DMP2067LVTQ.pdf</v>
      </c>
      <c r="C956" t="str">
        <f>Hyperlink("https://www.diodes.com/part/view/DMP2067LVTQ","DMP2067LVTQ")</f>
        <v>DMP2067LVTQ</v>
      </c>
      <c r="D956" t="s">
        <v>1645</v>
      </c>
      <c r="E956" t="s">
        <v>27</v>
      </c>
      <c r="F956" t="s">
        <v>37</v>
      </c>
      <c r="G956" t="s">
        <v>75</v>
      </c>
      <c r="H956" t="s">
        <v>30</v>
      </c>
      <c r="I956">
        <v>20</v>
      </c>
      <c r="J956">
        <v>8</v>
      </c>
      <c r="K956">
        <v>4.2</v>
      </c>
      <c r="M956">
        <v>1.2</v>
      </c>
      <c r="P956">
        <v>45</v>
      </c>
      <c r="Q956">
        <v>65</v>
      </c>
      <c r="S956">
        <v>0.4</v>
      </c>
      <c r="T956">
        <v>1.5</v>
      </c>
      <c r="U956">
        <v>15</v>
      </c>
      <c r="V956" t="s">
        <v>1771</v>
      </c>
      <c r="W956">
        <v>1575</v>
      </c>
      <c r="X956">
        <v>10</v>
      </c>
      <c r="Y956" t="s">
        <v>183</v>
      </c>
    </row>
    <row r="957" spans="1:25">
      <c r="A957" t="s">
        <v>1773</v>
      </c>
      <c r="B957" s="2" t="str">
        <f>Hyperlink("https://www.diodes.com/datasheet/download/DMP2068UFY4.pdf")</f>
        <v>https://www.diodes.com/datasheet/download/DMP2068UFY4.pdf</v>
      </c>
      <c r="C957" t="str">
        <f>Hyperlink("https://www.diodes.com/part/view/DMP2068UFY4","DMP2068UFY4")</f>
        <v>DMP2068UFY4</v>
      </c>
      <c r="D957" t="s">
        <v>1645</v>
      </c>
      <c r="E957" t="s">
        <v>30</v>
      </c>
      <c r="F957" t="s">
        <v>28</v>
      </c>
      <c r="G957" t="s">
        <v>75</v>
      </c>
      <c r="H957" t="s">
        <v>27</v>
      </c>
      <c r="I957">
        <v>16</v>
      </c>
      <c r="J957">
        <v>8</v>
      </c>
      <c r="K957">
        <v>4.8</v>
      </c>
      <c r="M957">
        <v>1.3</v>
      </c>
      <c r="P957">
        <v>39</v>
      </c>
      <c r="Q957">
        <v>65</v>
      </c>
      <c r="R957">
        <v>103</v>
      </c>
      <c r="S957">
        <v>0.3</v>
      </c>
      <c r="T957">
        <v>1</v>
      </c>
      <c r="U957">
        <v>11</v>
      </c>
      <c r="W957">
        <v>973</v>
      </c>
      <c r="X957">
        <v>10</v>
      </c>
      <c r="Y957" t="s">
        <v>673</v>
      </c>
    </row>
    <row r="958" spans="1:25">
      <c r="A958" t="s">
        <v>1774</v>
      </c>
      <c r="B958" s="2" t="str">
        <f>Hyperlink("https://www.diodes.com/datasheet/download/DMP2068UFY4Q.pdf")</f>
        <v>https://www.diodes.com/datasheet/download/DMP2068UFY4Q.pdf</v>
      </c>
      <c r="C958" t="str">
        <f>Hyperlink("https://www.diodes.com/part/view/DMP2068UFY4Q","DMP2068UFY4Q")</f>
        <v>DMP2068UFY4Q</v>
      </c>
      <c r="D958" t="s">
        <v>1645</v>
      </c>
      <c r="E958" t="s">
        <v>27</v>
      </c>
      <c r="F958" t="s">
        <v>37</v>
      </c>
      <c r="G958" t="s">
        <v>75</v>
      </c>
      <c r="H958" t="s">
        <v>27</v>
      </c>
      <c r="I958">
        <v>16</v>
      </c>
      <c r="J958">
        <v>8</v>
      </c>
      <c r="K958">
        <v>4.8</v>
      </c>
      <c r="M958">
        <v>1.3</v>
      </c>
      <c r="P958">
        <v>39</v>
      </c>
      <c r="Q958">
        <v>65</v>
      </c>
      <c r="R958">
        <v>103</v>
      </c>
      <c r="S958">
        <v>0.3</v>
      </c>
      <c r="T958">
        <v>1</v>
      </c>
      <c r="U958">
        <v>11</v>
      </c>
      <c r="W958">
        <v>973</v>
      </c>
      <c r="X958">
        <v>10</v>
      </c>
      <c r="Y958" t="s">
        <v>673</v>
      </c>
    </row>
    <row r="959" spans="1:25">
      <c r="A959" t="s">
        <v>1775</v>
      </c>
      <c r="B959" s="2" t="str">
        <f>Hyperlink("https://www.diodes.com/datasheet/download/DMP2069UFY4.pdf")</f>
        <v>https://www.diodes.com/datasheet/download/DMP2069UFY4.pdf</v>
      </c>
      <c r="C959" t="str">
        <f>Hyperlink("https://www.diodes.com/part/view/DMP2069UFY4","DMP2069UFY4")</f>
        <v>DMP2069UFY4</v>
      </c>
      <c r="D959" t="s">
        <v>74</v>
      </c>
      <c r="E959" t="s">
        <v>27</v>
      </c>
      <c r="F959" t="s">
        <v>28</v>
      </c>
      <c r="G959" t="s">
        <v>75</v>
      </c>
      <c r="H959" t="s">
        <v>27</v>
      </c>
      <c r="I959">
        <v>20</v>
      </c>
      <c r="J959">
        <v>8</v>
      </c>
      <c r="K959">
        <v>2.5</v>
      </c>
      <c r="M959">
        <v>0.53</v>
      </c>
      <c r="P959">
        <v>54</v>
      </c>
      <c r="Q959">
        <v>69</v>
      </c>
      <c r="R959">
        <v>90</v>
      </c>
      <c r="S959">
        <v>0.3</v>
      </c>
      <c r="T959">
        <v>1</v>
      </c>
      <c r="U959">
        <v>9.1</v>
      </c>
      <c r="W959">
        <v>214</v>
      </c>
      <c r="X959">
        <v>10</v>
      </c>
      <c r="Y959" t="s">
        <v>673</v>
      </c>
    </row>
    <row r="960" spans="1:25">
      <c r="A960" t="s">
        <v>1776</v>
      </c>
      <c r="B960" s="2" t="str">
        <f>Hyperlink("https://www.diodes.com/datasheet/download/DMP2069UFY4Q.pdf")</f>
        <v>https://www.diodes.com/datasheet/download/DMP2069UFY4Q.pdf</v>
      </c>
      <c r="C960" t="str">
        <f>Hyperlink("https://www.diodes.com/part/view/DMP2069UFY4Q","DMP2069UFY4Q")</f>
        <v>DMP2069UFY4Q</v>
      </c>
      <c r="D960" t="s">
        <v>74</v>
      </c>
      <c r="E960" t="s">
        <v>27</v>
      </c>
      <c r="F960" t="s">
        <v>37</v>
      </c>
      <c r="G960" t="s">
        <v>75</v>
      </c>
      <c r="H960" t="s">
        <v>27</v>
      </c>
      <c r="I960">
        <v>20</v>
      </c>
      <c r="J960">
        <v>8</v>
      </c>
      <c r="K960">
        <v>2.5</v>
      </c>
      <c r="M960">
        <v>0.53</v>
      </c>
      <c r="P960">
        <v>54</v>
      </c>
      <c r="Q960">
        <v>69</v>
      </c>
      <c r="R960">
        <v>90</v>
      </c>
      <c r="T960">
        <v>1</v>
      </c>
      <c r="W960">
        <v>214</v>
      </c>
      <c r="X960">
        <v>10</v>
      </c>
      <c r="Y960" t="s">
        <v>673</v>
      </c>
    </row>
    <row r="961" spans="1:25">
      <c r="A961" t="s">
        <v>1777</v>
      </c>
      <c r="B961" s="2" t="str">
        <f>Hyperlink("https://www.diodes.com/datasheet/download/DMP2070U.pdf")</f>
        <v>https://www.diodes.com/datasheet/download/DMP2070U.pdf</v>
      </c>
      <c r="C961" t="str">
        <f>Hyperlink("https://www.diodes.com/part/view/DMP2070U","DMP2070U")</f>
        <v>DMP2070U</v>
      </c>
      <c r="D961" t="s">
        <v>74</v>
      </c>
      <c r="E961" t="s">
        <v>30</v>
      </c>
      <c r="F961" t="s">
        <v>28</v>
      </c>
      <c r="G961" t="s">
        <v>75</v>
      </c>
      <c r="H961" t="s">
        <v>27</v>
      </c>
      <c r="I961">
        <v>20</v>
      </c>
      <c r="J961">
        <v>8</v>
      </c>
      <c r="L961">
        <v>4.6</v>
      </c>
      <c r="M961">
        <v>1.4</v>
      </c>
      <c r="P961">
        <v>44</v>
      </c>
      <c r="Q961">
        <v>57</v>
      </c>
      <c r="T961">
        <v>0.95</v>
      </c>
      <c r="U961">
        <v>8.2</v>
      </c>
      <c r="V961" t="s">
        <v>1778</v>
      </c>
      <c r="W961">
        <v>118</v>
      </c>
      <c r="X961">
        <v>10</v>
      </c>
      <c r="Y961" t="s">
        <v>35</v>
      </c>
    </row>
    <row r="962" spans="1:25">
      <c r="A962" t="s">
        <v>1779</v>
      </c>
      <c r="B962" s="2" t="str">
        <f>Hyperlink("https://www.diodes.com/datasheet/download/DMP2070UFY4.pdf")</f>
        <v>https://www.diodes.com/datasheet/download/DMP2070UFY4.pdf</v>
      </c>
      <c r="C962" t="str">
        <f>Hyperlink("https://www.diodes.com/part/view/DMP2070UFY4","DMP2070UFY4")</f>
        <v>DMP2070UFY4</v>
      </c>
      <c r="D962" t="s">
        <v>1645</v>
      </c>
      <c r="E962" t="s">
        <v>30</v>
      </c>
      <c r="F962" t="s">
        <v>28</v>
      </c>
      <c r="G962" t="s">
        <v>75</v>
      </c>
      <c r="H962" t="s">
        <v>27</v>
      </c>
      <c r="I962">
        <v>20</v>
      </c>
      <c r="J962">
        <v>8</v>
      </c>
      <c r="K962">
        <v>4.7</v>
      </c>
      <c r="M962">
        <v>1.8</v>
      </c>
      <c r="P962">
        <v>54</v>
      </c>
      <c r="Q962">
        <v>69</v>
      </c>
      <c r="R962">
        <v>90</v>
      </c>
      <c r="S962">
        <v>0.3</v>
      </c>
      <c r="T962">
        <v>1</v>
      </c>
      <c r="U962">
        <v>10.2</v>
      </c>
      <c r="W962">
        <v>915</v>
      </c>
      <c r="X962">
        <v>10</v>
      </c>
      <c r="Y962" t="s">
        <v>673</v>
      </c>
    </row>
    <row r="963" spans="1:25">
      <c r="A963" t="s">
        <v>1780</v>
      </c>
      <c r="B963" s="2" t="str">
        <f>Hyperlink("https://www.diodes.com/datasheet/download/DMP2070UFY4Q.pdf")</f>
        <v>https://www.diodes.com/datasheet/download/DMP2070UFY4Q.pdf</v>
      </c>
      <c r="C963" t="str">
        <f>Hyperlink("https://www.diodes.com/part/view/DMP2070UFY4Q","DMP2070UFY4Q")</f>
        <v>DMP2070UFY4Q</v>
      </c>
      <c r="D963" t="s">
        <v>1645</v>
      </c>
      <c r="E963" t="s">
        <v>27</v>
      </c>
      <c r="F963" t="s">
        <v>37</v>
      </c>
      <c r="G963" t="s">
        <v>75</v>
      </c>
      <c r="H963" t="s">
        <v>27</v>
      </c>
      <c r="I963">
        <v>20</v>
      </c>
      <c r="J963">
        <v>8</v>
      </c>
      <c r="K963">
        <v>4.7</v>
      </c>
      <c r="M963">
        <v>1.8</v>
      </c>
      <c r="P963">
        <v>54</v>
      </c>
      <c r="Q963">
        <v>69</v>
      </c>
      <c r="R963">
        <v>90</v>
      </c>
      <c r="S963">
        <v>0.3</v>
      </c>
      <c r="T963">
        <v>1</v>
      </c>
      <c r="U963">
        <v>10.2</v>
      </c>
      <c r="W963">
        <v>915</v>
      </c>
      <c r="X963">
        <v>10</v>
      </c>
      <c r="Y963" t="s">
        <v>673</v>
      </c>
    </row>
    <row r="964" spans="1:25">
      <c r="A964" t="s">
        <v>1781</v>
      </c>
      <c r="B964" s="2" t="str">
        <f>Hyperlink("https://www.diodes.com/datasheet/download/DMP2070UQ.pdf")</f>
        <v>https://www.diodes.com/datasheet/download/DMP2070UQ.pdf</v>
      </c>
      <c r="C964" t="str">
        <f>Hyperlink("https://www.diodes.com/part/view/DMP2070UQ","DMP2070UQ")</f>
        <v>DMP2070UQ</v>
      </c>
      <c r="D964" t="s">
        <v>74</v>
      </c>
      <c r="E964" t="s">
        <v>27</v>
      </c>
      <c r="F964" t="s">
        <v>37</v>
      </c>
      <c r="G964" t="s">
        <v>75</v>
      </c>
      <c r="H964" t="s">
        <v>27</v>
      </c>
      <c r="I964">
        <v>20</v>
      </c>
      <c r="J964">
        <v>8</v>
      </c>
      <c r="L964">
        <v>4.6</v>
      </c>
      <c r="M964">
        <v>1.4</v>
      </c>
      <c r="P964">
        <v>44</v>
      </c>
      <c r="Q964">
        <v>57</v>
      </c>
      <c r="S964">
        <v>0.45</v>
      </c>
      <c r="T964">
        <v>0.95</v>
      </c>
      <c r="U964">
        <v>8.2</v>
      </c>
      <c r="W964">
        <v>118</v>
      </c>
      <c r="X964">
        <v>10</v>
      </c>
      <c r="Y964" t="s">
        <v>35</v>
      </c>
    </row>
    <row r="965" spans="1:25">
      <c r="A965" t="s">
        <v>1782</v>
      </c>
      <c r="B965" s="2" t="str">
        <f>Hyperlink("https://www.diodes.com/datasheet/download/DMP2075UFDB.pdf")</f>
        <v>https://www.diodes.com/datasheet/download/DMP2075UFDB.pdf</v>
      </c>
      <c r="C965" t="str">
        <f>Hyperlink("https://www.diodes.com/part/view/DMP2075UFDB","DMP2075UFDB")</f>
        <v>DMP2075UFDB</v>
      </c>
      <c r="D965" t="s">
        <v>1744</v>
      </c>
      <c r="E965" t="s">
        <v>27</v>
      </c>
      <c r="F965" t="s">
        <v>28</v>
      </c>
      <c r="G965" t="s">
        <v>124</v>
      </c>
      <c r="H965" t="s">
        <v>30</v>
      </c>
      <c r="I965">
        <v>20</v>
      </c>
      <c r="J965">
        <v>8</v>
      </c>
      <c r="K965">
        <v>3.8</v>
      </c>
      <c r="M965">
        <v>1.4</v>
      </c>
      <c r="P965">
        <v>75</v>
      </c>
      <c r="Q965">
        <v>137</v>
      </c>
      <c r="S965">
        <v>0.35</v>
      </c>
      <c r="T965">
        <v>1.4</v>
      </c>
      <c r="U965">
        <v>8.8</v>
      </c>
      <c r="V965" t="s">
        <v>984</v>
      </c>
      <c r="W965">
        <v>642</v>
      </c>
      <c r="X965">
        <v>10</v>
      </c>
      <c r="Y965" t="s">
        <v>179</v>
      </c>
    </row>
    <row r="966" spans="1:25">
      <c r="A966" t="s">
        <v>1783</v>
      </c>
      <c r="B966" s="2" t="str">
        <f>Hyperlink("https://www.diodes.com/datasheet/download/DMP2075UVT.pdf")</f>
        <v>https://www.diodes.com/datasheet/download/DMP2075UVT.pdf</v>
      </c>
      <c r="C966" t="str">
        <f>Hyperlink("https://www.diodes.com/part/view/DMP2075UVT","DMP2075UVT")</f>
        <v>DMP2075UVT</v>
      </c>
      <c r="D966" t="s">
        <v>74</v>
      </c>
      <c r="E966" t="s">
        <v>30</v>
      </c>
      <c r="F966" t="s">
        <v>28</v>
      </c>
      <c r="G966" t="s">
        <v>75</v>
      </c>
      <c r="H966" t="s">
        <v>30</v>
      </c>
      <c r="I966">
        <v>20</v>
      </c>
      <c r="J966">
        <v>8</v>
      </c>
      <c r="K966">
        <v>3.8</v>
      </c>
      <c r="M966">
        <v>1.6</v>
      </c>
      <c r="P966">
        <v>75</v>
      </c>
      <c r="Q966">
        <v>137</v>
      </c>
      <c r="S966">
        <v>0.3</v>
      </c>
      <c r="T966">
        <v>1</v>
      </c>
      <c r="U966">
        <v>8.8</v>
      </c>
      <c r="W966">
        <v>642</v>
      </c>
      <c r="X966">
        <v>10</v>
      </c>
      <c r="Y966" t="s">
        <v>183</v>
      </c>
    </row>
    <row r="967" spans="1:25">
      <c r="A967" t="s">
        <v>1784</v>
      </c>
      <c r="B967" s="2" t="str">
        <f>Hyperlink("https://www.diodes.com/datasheet/download/DMP2077UCA3.pdf")</f>
        <v>https://www.diodes.com/datasheet/download/DMP2077UCA3.pdf</v>
      </c>
      <c r="C967" t="str">
        <f>Hyperlink("https://www.diodes.com/part/view/DMP2077UCA3","DMP2077UCA3")</f>
        <v>DMP2077UCA3</v>
      </c>
      <c r="D967" t="s">
        <v>74</v>
      </c>
      <c r="E967" t="s">
        <v>30</v>
      </c>
      <c r="F967" t="s">
        <v>28</v>
      </c>
      <c r="G967" t="s">
        <v>75</v>
      </c>
      <c r="H967" t="s">
        <v>30</v>
      </c>
      <c r="I967">
        <v>20</v>
      </c>
      <c r="J967">
        <v>12</v>
      </c>
      <c r="K967">
        <v>4</v>
      </c>
      <c r="M967">
        <v>1.98</v>
      </c>
      <c r="P967">
        <v>100</v>
      </c>
      <c r="Q967">
        <v>165</v>
      </c>
      <c r="R967">
        <v>600</v>
      </c>
      <c r="S967">
        <v>0.5</v>
      </c>
      <c r="T967">
        <v>1</v>
      </c>
      <c r="U967">
        <v>1.34</v>
      </c>
      <c r="W967">
        <v>143</v>
      </c>
      <c r="Y967" t="s">
        <v>1205</v>
      </c>
    </row>
    <row r="968" spans="1:25">
      <c r="A968" t="s">
        <v>1785</v>
      </c>
      <c r="B968" s="2" t="str">
        <f>Hyperlink("https://www.diodes.com/datasheet/download/DMP2078LCA3.pdf")</f>
        <v>https://www.diodes.com/datasheet/download/DMP2078LCA3.pdf</v>
      </c>
      <c r="C968" t="str">
        <f>Hyperlink("https://www.diodes.com/part/view/DMP2078LCA3","DMP2078LCA3")</f>
        <v>DMP2078LCA3</v>
      </c>
      <c r="D968" t="s">
        <v>74</v>
      </c>
      <c r="E968" t="s">
        <v>30</v>
      </c>
      <c r="F968" t="s">
        <v>28</v>
      </c>
      <c r="G968" t="s">
        <v>75</v>
      </c>
      <c r="H968" t="s">
        <v>27</v>
      </c>
      <c r="I968">
        <v>20</v>
      </c>
      <c r="J968">
        <v>12</v>
      </c>
      <c r="K968">
        <v>3.4</v>
      </c>
      <c r="M968">
        <v>1.4</v>
      </c>
      <c r="P968">
        <v>100</v>
      </c>
      <c r="Q968">
        <v>165</v>
      </c>
      <c r="R968">
        <v>600</v>
      </c>
      <c r="S968">
        <v>0.7</v>
      </c>
      <c r="T968">
        <v>1.2</v>
      </c>
      <c r="U968">
        <v>1.1</v>
      </c>
      <c r="W968">
        <v>152</v>
      </c>
      <c r="X968">
        <v>10</v>
      </c>
      <c r="Y968" t="s">
        <v>1205</v>
      </c>
    </row>
    <row r="969" spans="1:25">
      <c r="A969" t="s">
        <v>1786</v>
      </c>
      <c r="B969" s="2" t="str">
        <f>Hyperlink("https://www.diodes.com/datasheet/download/DMP2079LCA3.pdf")</f>
        <v>https://www.diodes.com/datasheet/download/DMP2079LCA3.pdf</v>
      </c>
      <c r="C969" t="str">
        <f>Hyperlink("https://www.diodes.com/part/view/DMP2079LCA3","DMP2079LCA3")</f>
        <v>DMP2079LCA3</v>
      </c>
      <c r="D969" t="s">
        <v>74</v>
      </c>
      <c r="E969" t="s">
        <v>30</v>
      </c>
      <c r="F969" t="s">
        <v>28</v>
      </c>
      <c r="G969" t="s">
        <v>75</v>
      </c>
      <c r="H969" t="s">
        <v>27</v>
      </c>
      <c r="I969">
        <v>20</v>
      </c>
      <c r="J969">
        <v>12</v>
      </c>
      <c r="K969">
        <v>3.4</v>
      </c>
      <c r="M969">
        <v>1.4</v>
      </c>
      <c r="P969">
        <v>100</v>
      </c>
      <c r="Q969">
        <v>165</v>
      </c>
      <c r="R969">
        <v>600</v>
      </c>
      <c r="S969">
        <v>0.7</v>
      </c>
      <c r="T969">
        <v>1.2</v>
      </c>
      <c r="U969">
        <v>1.1</v>
      </c>
      <c r="W969">
        <v>152</v>
      </c>
      <c r="Y969" t="s">
        <v>1205</v>
      </c>
    </row>
    <row r="970" spans="1:25">
      <c r="A970" t="s">
        <v>1787</v>
      </c>
      <c r="B970" s="2" t="str">
        <f>Hyperlink("https://www.diodes.com/datasheet/download/DMP2090UFDB.pdf")</f>
        <v>https://www.diodes.com/datasheet/download/DMP2090UFDB.pdf</v>
      </c>
      <c r="C970" t="str">
        <f>Hyperlink("https://www.diodes.com/part/view/DMP2090UFDB","DMP2090UFDB")</f>
        <v>DMP2090UFDB</v>
      </c>
      <c r="D970" t="s">
        <v>127</v>
      </c>
      <c r="E970" t="s">
        <v>30</v>
      </c>
      <c r="F970" t="s">
        <v>28</v>
      </c>
      <c r="G970" t="s">
        <v>124</v>
      </c>
      <c r="H970" t="s">
        <v>27</v>
      </c>
      <c r="I970">
        <v>20</v>
      </c>
      <c r="J970">
        <v>8</v>
      </c>
      <c r="K970">
        <v>3.2</v>
      </c>
      <c r="M970">
        <v>1.39</v>
      </c>
      <c r="P970">
        <v>90</v>
      </c>
      <c r="Q970">
        <v>120</v>
      </c>
      <c r="S970">
        <v>0.3</v>
      </c>
      <c r="T970">
        <v>1</v>
      </c>
      <c r="U970">
        <v>6.8</v>
      </c>
      <c r="W970">
        <v>634</v>
      </c>
      <c r="X970">
        <v>10</v>
      </c>
      <c r="Y970" t="s">
        <v>179</v>
      </c>
    </row>
    <row r="971" spans="1:25">
      <c r="A971" t="s">
        <v>1788</v>
      </c>
      <c r="B971" s="2" t="str">
        <f>Hyperlink("https://www.diodes.com/datasheet/download/DMP2100UFU.pdf")</f>
        <v>https://www.diodes.com/datasheet/download/DMP2100UFU.pdf</v>
      </c>
      <c r="C971" t="str">
        <f>Hyperlink("https://www.diodes.com/part/view/DMP2100UFU","DMP2100UFU")</f>
        <v>DMP2100UFU</v>
      </c>
      <c r="D971" t="s">
        <v>123</v>
      </c>
      <c r="E971" t="s">
        <v>30</v>
      </c>
      <c r="F971" t="s">
        <v>28</v>
      </c>
      <c r="G971" t="s">
        <v>124</v>
      </c>
      <c r="H971" t="s">
        <v>27</v>
      </c>
      <c r="I971">
        <v>20</v>
      </c>
      <c r="J971">
        <v>10</v>
      </c>
      <c r="K971">
        <v>5.7</v>
      </c>
      <c r="M971">
        <v>1.9</v>
      </c>
      <c r="O971">
        <v>38</v>
      </c>
      <c r="P971">
        <v>43</v>
      </c>
      <c r="Q971">
        <v>75</v>
      </c>
      <c r="S971">
        <v>0.3</v>
      </c>
      <c r="T971">
        <v>1.4</v>
      </c>
      <c r="U971">
        <v>10.3</v>
      </c>
      <c r="V971">
        <v>21.4</v>
      </c>
      <c r="W971">
        <v>906</v>
      </c>
      <c r="X971">
        <v>10</v>
      </c>
      <c r="Y971" t="s">
        <v>909</v>
      </c>
    </row>
    <row r="972" spans="1:25">
      <c r="A972" t="s">
        <v>1789</v>
      </c>
      <c r="B972" s="2" t="str">
        <f>Hyperlink("https://www.diodes.com/datasheet/download/DMP2101UCP9.pdf")</f>
        <v>https://www.diodes.com/datasheet/download/DMP2101UCP9.pdf</v>
      </c>
      <c r="C972" t="str">
        <f>Hyperlink("https://www.diodes.com/part/view/DMP2101UCP9","DMP2101UCP9")</f>
        <v>DMP2101UCP9</v>
      </c>
      <c r="D972" t="s">
        <v>127</v>
      </c>
      <c r="E972" t="s">
        <v>30</v>
      </c>
      <c r="F972" t="s">
        <v>28</v>
      </c>
      <c r="G972" t="s">
        <v>75</v>
      </c>
      <c r="H972" t="s">
        <v>27</v>
      </c>
      <c r="I972">
        <v>20</v>
      </c>
      <c r="J972">
        <v>6</v>
      </c>
      <c r="K972">
        <v>3.1</v>
      </c>
      <c r="M972">
        <v>1.47</v>
      </c>
      <c r="P972">
        <v>100</v>
      </c>
      <c r="Q972">
        <v>130</v>
      </c>
      <c r="R972">
        <v>175</v>
      </c>
      <c r="S972">
        <v>0.4</v>
      </c>
      <c r="T972">
        <v>0.9</v>
      </c>
      <c r="U972">
        <v>3.2</v>
      </c>
      <c r="W972">
        <v>392</v>
      </c>
      <c r="X972">
        <v>10</v>
      </c>
      <c r="Y972" t="s">
        <v>1790</v>
      </c>
    </row>
    <row r="973" spans="1:25">
      <c r="A973" t="s">
        <v>1791</v>
      </c>
      <c r="B973" s="2" t="str">
        <f>Hyperlink("https://www.diodes.com/datasheet/download/DMP2104LP.pdf")</f>
        <v>https://www.diodes.com/datasheet/download/DMP2104LP.pdf</v>
      </c>
      <c r="C973" t="str">
        <f>Hyperlink("https://www.diodes.com/part/view/DMP2104LP","DMP2104LP")</f>
        <v>DMP2104LP</v>
      </c>
      <c r="D973" t="s">
        <v>74</v>
      </c>
      <c r="E973" t="s">
        <v>27</v>
      </c>
      <c r="F973" t="s">
        <v>28</v>
      </c>
      <c r="G973" t="s">
        <v>75</v>
      </c>
      <c r="H973" t="s">
        <v>30</v>
      </c>
      <c r="I973">
        <v>20</v>
      </c>
      <c r="J973">
        <v>12</v>
      </c>
      <c r="K973">
        <v>1.5</v>
      </c>
      <c r="M973">
        <v>0.5</v>
      </c>
      <c r="P973">
        <v>150</v>
      </c>
      <c r="Q973">
        <v>200</v>
      </c>
      <c r="R973">
        <v>240</v>
      </c>
      <c r="S973">
        <v>0.45</v>
      </c>
      <c r="T973">
        <v>1</v>
      </c>
      <c r="W973">
        <v>320</v>
      </c>
      <c r="X973">
        <v>16</v>
      </c>
      <c r="Y973" t="s">
        <v>1792</v>
      </c>
    </row>
    <row r="974" spans="1:25">
      <c r="A974" t="s">
        <v>1793</v>
      </c>
      <c r="B974" s="2" t="str">
        <f>Hyperlink("https://www.diodes.com/datasheet/download/DMP2104V.pdf")</f>
        <v>https://www.diodes.com/datasheet/download/DMP2104V.pdf</v>
      </c>
      <c r="C974" t="str">
        <f>Hyperlink("https://www.diodes.com/part/view/DMP2104V","DMP2104V")</f>
        <v>DMP2104V</v>
      </c>
      <c r="D974" t="s">
        <v>74</v>
      </c>
      <c r="E974" t="s">
        <v>27</v>
      </c>
      <c r="F974" t="s">
        <v>28</v>
      </c>
      <c r="G974" t="s">
        <v>75</v>
      </c>
      <c r="H974" t="s">
        <v>30</v>
      </c>
      <c r="I974">
        <v>20</v>
      </c>
      <c r="J974">
        <v>12</v>
      </c>
      <c r="K974">
        <v>1.9</v>
      </c>
      <c r="M974">
        <v>0.85</v>
      </c>
      <c r="P974">
        <v>150</v>
      </c>
      <c r="Q974">
        <v>200</v>
      </c>
      <c r="R974">
        <v>240</v>
      </c>
      <c r="S974">
        <v>0.45</v>
      </c>
      <c r="T974">
        <v>1</v>
      </c>
      <c r="W974">
        <v>320</v>
      </c>
      <c r="X974">
        <v>16</v>
      </c>
      <c r="Y974" t="s">
        <v>60</v>
      </c>
    </row>
    <row r="975" spans="1:25">
      <c r="A975" t="s">
        <v>1794</v>
      </c>
      <c r="B975" s="2" t="str">
        <f>Hyperlink("https://www.diodes.com/datasheet/download/DMP2109UVT.pdf")</f>
        <v>https://www.diodes.com/datasheet/download/DMP2109UVT.pdf</v>
      </c>
      <c r="C975" t="str">
        <f>Hyperlink("https://www.diodes.com/part/view/DMP2109UVT","DMP2109UVT")</f>
        <v>DMP2109UVT</v>
      </c>
      <c r="D975" t="s">
        <v>74</v>
      </c>
      <c r="E975" t="s">
        <v>30</v>
      </c>
      <c r="F975" t="s">
        <v>28</v>
      </c>
      <c r="G975" t="s">
        <v>75</v>
      </c>
      <c r="H975" t="s">
        <v>30</v>
      </c>
      <c r="I975">
        <v>20</v>
      </c>
      <c r="J975">
        <v>10</v>
      </c>
      <c r="K975">
        <v>3.7</v>
      </c>
      <c r="M975">
        <v>1.2</v>
      </c>
      <c r="P975">
        <v>80</v>
      </c>
      <c r="Q975">
        <v>110</v>
      </c>
      <c r="S975">
        <v>0.45</v>
      </c>
      <c r="T975">
        <v>1</v>
      </c>
      <c r="U975">
        <v>6</v>
      </c>
      <c r="W975">
        <v>443</v>
      </c>
      <c r="X975">
        <v>10</v>
      </c>
      <c r="Y975" t="s">
        <v>183</v>
      </c>
    </row>
    <row r="976" spans="1:25">
      <c r="A976" t="s">
        <v>1795</v>
      </c>
      <c r="B976" s="2" t="str">
        <f>Hyperlink("https://www.diodes.com/datasheet/download/DMP2109UVTQ.pdf")</f>
        <v>https://www.diodes.com/datasheet/download/DMP2109UVTQ.pdf</v>
      </c>
      <c r="C976" t="str">
        <f>Hyperlink("https://www.diodes.com/part/view/DMP2109UVTQ","DMP2109UVTQ")</f>
        <v>DMP2109UVTQ</v>
      </c>
      <c r="D976" t="s">
        <v>1645</v>
      </c>
      <c r="E976" t="s">
        <v>27</v>
      </c>
      <c r="F976" t="s">
        <v>37</v>
      </c>
      <c r="G976" t="s">
        <v>75</v>
      </c>
      <c r="H976" t="s">
        <v>30</v>
      </c>
      <c r="I976">
        <v>20</v>
      </c>
      <c r="J976">
        <v>10</v>
      </c>
      <c r="K976">
        <v>3.7</v>
      </c>
      <c r="M976">
        <v>1.2</v>
      </c>
      <c r="P976">
        <v>80</v>
      </c>
      <c r="Q976">
        <v>110</v>
      </c>
      <c r="S976">
        <v>0.45</v>
      </c>
      <c r="T976">
        <v>1</v>
      </c>
      <c r="U976">
        <v>6</v>
      </c>
      <c r="W976">
        <v>443</v>
      </c>
      <c r="X976">
        <v>10</v>
      </c>
      <c r="Y976" t="s">
        <v>183</v>
      </c>
    </row>
    <row r="977" spans="1:25">
      <c r="A977" t="s">
        <v>1796</v>
      </c>
      <c r="B977" s="2" t="str">
        <f>Hyperlink("https://www.diodes.com/datasheet/download/DMP2110U.pdf")</f>
        <v>https://www.diodes.com/datasheet/download/DMP2110U.pdf</v>
      </c>
      <c r="C977" t="str">
        <f>Hyperlink("https://www.diodes.com/part/view/DMP2110U","DMP2110U")</f>
        <v>DMP2110U</v>
      </c>
      <c r="D977" t="s">
        <v>74</v>
      </c>
      <c r="E977" t="s">
        <v>30</v>
      </c>
      <c r="F977" t="s">
        <v>28</v>
      </c>
      <c r="G977" t="s">
        <v>75</v>
      </c>
      <c r="H977" t="s">
        <v>30</v>
      </c>
      <c r="I977">
        <v>20</v>
      </c>
      <c r="J977">
        <v>10</v>
      </c>
      <c r="K977">
        <v>3.5</v>
      </c>
      <c r="M977">
        <v>1.2</v>
      </c>
      <c r="P977">
        <v>80</v>
      </c>
      <c r="Q977">
        <v>110</v>
      </c>
      <c r="S977">
        <v>0.45</v>
      </c>
      <c r="T977">
        <v>1</v>
      </c>
      <c r="U977">
        <v>6</v>
      </c>
      <c r="W977">
        <v>443</v>
      </c>
      <c r="X977">
        <v>10</v>
      </c>
      <c r="Y977" t="s">
        <v>35</v>
      </c>
    </row>
    <row r="978" spans="1:25">
      <c r="A978" t="s">
        <v>1797</v>
      </c>
      <c r="B978" s="2" t="str">
        <f>Hyperlink("https://www.diodes.com/datasheet/download/DMP2110UFDB.pdf")</f>
        <v>https://www.diodes.com/datasheet/download/DMP2110UFDB.pdf</v>
      </c>
      <c r="C978" t="str">
        <f>Hyperlink("https://www.diodes.com/part/view/DMP2110UFDB","DMP2110UFDB")</f>
        <v>DMP2110UFDB</v>
      </c>
      <c r="D978" t="s">
        <v>123</v>
      </c>
      <c r="E978" t="s">
        <v>30</v>
      </c>
      <c r="F978" t="s">
        <v>28</v>
      </c>
      <c r="G978" t="s">
        <v>124</v>
      </c>
      <c r="H978" t="s">
        <v>30</v>
      </c>
      <c r="I978">
        <v>20</v>
      </c>
      <c r="J978">
        <v>12</v>
      </c>
      <c r="K978">
        <v>3.1</v>
      </c>
      <c r="M978">
        <v>1.1</v>
      </c>
      <c r="P978">
        <v>75</v>
      </c>
      <c r="Q978">
        <v>110</v>
      </c>
      <c r="R978">
        <v>168</v>
      </c>
      <c r="T978">
        <v>1</v>
      </c>
      <c r="U978">
        <v>6</v>
      </c>
      <c r="Y978" t="s">
        <v>179</v>
      </c>
    </row>
    <row r="979" spans="1:25">
      <c r="A979" t="s">
        <v>1798</v>
      </c>
      <c r="B979" s="2" t="str">
        <f>Hyperlink("https://www.diodes.com/datasheet/download/DMP2110UFDBQ.pdf")</f>
        <v>https://www.diodes.com/datasheet/download/DMP2110UFDBQ.pdf</v>
      </c>
      <c r="C979" t="str">
        <f>Hyperlink("https://www.diodes.com/part/view/DMP2110UFDBQ","DMP2110UFDBQ")</f>
        <v>DMP2110UFDBQ</v>
      </c>
      <c r="D979" t="s">
        <v>123</v>
      </c>
      <c r="E979" t="s">
        <v>27</v>
      </c>
      <c r="F979" t="s">
        <v>37</v>
      </c>
      <c r="G979" t="s">
        <v>124</v>
      </c>
      <c r="H979" t="s">
        <v>30</v>
      </c>
      <c r="I979">
        <v>20</v>
      </c>
      <c r="J979">
        <v>12</v>
      </c>
      <c r="K979">
        <v>3.1</v>
      </c>
      <c r="M979">
        <v>1.1</v>
      </c>
      <c r="P979">
        <v>75</v>
      </c>
      <c r="Q979">
        <v>110</v>
      </c>
      <c r="R979">
        <v>168</v>
      </c>
      <c r="T979">
        <v>1</v>
      </c>
      <c r="U979">
        <v>6</v>
      </c>
      <c r="Y979" t="s">
        <v>179</v>
      </c>
    </row>
    <row r="980" spans="1:25">
      <c r="A980" t="s">
        <v>1799</v>
      </c>
      <c r="B980" s="2" t="str">
        <f>Hyperlink("https://www.diodes.com/datasheet/download/DMP2110UQ.pdf")</f>
        <v>https://www.diodes.com/datasheet/download/DMP2110UQ.pdf</v>
      </c>
      <c r="C980" t="str">
        <f>Hyperlink("https://www.diodes.com/part/view/DMP2110UQ","DMP2110UQ")</f>
        <v>DMP2110UQ</v>
      </c>
      <c r="D980" t="s">
        <v>74</v>
      </c>
      <c r="E980" t="s">
        <v>27</v>
      </c>
      <c r="F980" t="s">
        <v>37</v>
      </c>
      <c r="G980" t="s">
        <v>75</v>
      </c>
      <c r="H980" t="s">
        <v>30</v>
      </c>
      <c r="I980">
        <v>20</v>
      </c>
      <c r="J980">
        <v>10</v>
      </c>
      <c r="K980">
        <v>3.5</v>
      </c>
      <c r="M980">
        <v>1.2</v>
      </c>
      <c r="P980">
        <v>80</v>
      </c>
      <c r="Q980">
        <v>110</v>
      </c>
      <c r="S980">
        <v>0.45</v>
      </c>
      <c r="T980">
        <v>1</v>
      </c>
      <c r="U980">
        <v>6</v>
      </c>
      <c r="W980">
        <v>443</v>
      </c>
      <c r="X980">
        <v>10</v>
      </c>
      <c r="Y980" t="s">
        <v>35</v>
      </c>
    </row>
    <row r="981" spans="1:25">
      <c r="A981" t="s">
        <v>1800</v>
      </c>
      <c r="B981" s="2" t="str">
        <f>Hyperlink("https://www.diodes.com/datasheet/download/DMP2110UVT.pdf")</f>
        <v>https://www.diodes.com/datasheet/download/DMP2110UVT.pdf</v>
      </c>
      <c r="C981" t="str">
        <f>Hyperlink("https://www.diodes.com/part/view/DMP2110UVT","DMP2110UVT")</f>
        <v>DMP2110UVT</v>
      </c>
      <c r="D981" t="s">
        <v>74</v>
      </c>
      <c r="E981" t="s">
        <v>27</v>
      </c>
      <c r="F981" t="s">
        <v>28</v>
      </c>
      <c r="G981" t="s">
        <v>124</v>
      </c>
      <c r="H981" t="s">
        <v>30</v>
      </c>
      <c r="I981">
        <v>20</v>
      </c>
      <c r="J981">
        <v>10</v>
      </c>
      <c r="K981">
        <v>1.8</v>
      </c>
      <c r="M981">
        <v>1.1</v>
      </c>
      <c r="P981">
        <v>150</v>
      </c>
      <c r="Q981">
        <v>200</v>
      </c>
      <c r="R981">
        <v>240</v>
      </c>
      <c r="S981">
        <v>0.45</v>
      </c>
      <c r="T981">
        <v>1</v>
      </c>
      <c r="U981">
        <v>6</v>
      </c>
      <c r="W981">
        <v>440</v>
      </c>
      <c r="X981">
        <v>10</v>
      </c>
      <c r="Y981" t="s">
        <v>183</v>
      </c>
    </row>
    <row r="982" spans="1:25">
      <c r="A982" t="s">
        <v>1801</v>
      </c>
      <c r="B982" s="2" t="str">
        <f>Hyperlink("https://www.diodes.com/datasheet/download/DMP2110UVTQ.pdf")</f>
        <v>https://www.diodes.com/datasheet/download/DMP2110UVTQ.pdf</v>
      </c>
      <c r="C982" t="str">
        <f>Hyperlink("https://www.diodes.com/part/view/DMP2110UVTQ","DMP2110UVTQ")</f>
        <v>DMP2110UVTQ</v>
      </c>
      <c r="D982" t="s">
        <v>123</v>
      </c>
      <c r="E982" t="s">
        <v>27</v>
      </c>
      <c r="F982" t="s">
        <v>37</v>
      </c>
      <c r="G982" t="s">
        <v>124</v>
      </c>
      <c r="H982" t="s">
        <v>30</v>
      </c>
      <c r="I982">
        <v>20</v>
      </c>
      <c r="J982">
        <v>10</v>
      </c>
      <c r="K982">
        <v>1.8</v>
      </c>
      <c r="M982">
        <v>1.1</v>
      </c>
      <c r="P982">
        <v>150</v>
      </c>
      <c r="Q982">
        <v>200</v>
      </c>
      <c r="R982">
        <v>240</v>
      </c>
      <c r="S982">
        <v>0.45</v>
      </c>
      <c r="T982">
        <v>1</v>
      </c>
      <c r="U982">
        <v>6</v>
      </c>
      <c r="W982">
        <v>440</v>
      </c>
      <c r="X982">
        <v>10</v>
      </c>
      <c r="Y982" t="s">
        <v>183</v>
      </c>
    </row>
    <row r="983" spans="1:25">
      <c r="A983" t="s">
        <v>1802</v>
      </c>
      <c r="B983" s="2" t="str">
        <f>Hyperlink("https://www.diodes.com/datasheet/download/DMP2110UW.pdf")</f>
        <v>https://www.diodes.com/datasheet/download/DMP2110UW.pdf</v>
      </c>
      <c r="C983" t="str">
        <f>Hyperlink("https://www.diodes.com/part/view/DMP2110UW","DMP2110UW")</f>
        <v>DMP2110UW</v>
      </c>
      <c r="D983" t="s">
        <v>74</v>
      </c>
      <c r="E983" t="s">
        <v>30</v>
      </c>
      <c r="F983" t="s">
        <v>28</v>
      </c>
      <c r="G983" t="s">
        <v>75</v>
      </c>
      <c r="H983" t="s">
        <v>30</v>
      </c>
      <c r="I983">
        <v>20</v>
      </c>
      <c r="J983">
        <v>12</v>
      </c>
      <c r="K983">
        <v>2</v>
      </c>
      <c r="M983">
        <v>1.1</v>
      </c>
      <c r="P983">
        <v>100</v>
      </c>
      <c r="Q983">
        <v>120</v>
      </c>
      <c r="R983">
        <v>160</v>
      </c>
      <c r="S983">
        <v>0.4</v>
      </c>
      <c r="T983">
        <v>0.9</v>
      </c>
      <c r="U983">
        <v>6</v>
      </c>
      <c r="W983">
        <v>443</v>
      </c>
      <c r="X983">
        <v>6</v>
      </c>
      <c r="Y983" t="s">
        <v>92</v>
      </c>
    </row>
    <row r="984" spans="1:25">
      <c r="A984" t="s">
        <v>1803</v>
      </c>
      <c r="B984" s="2" t="str">
        <f>Hyperlink("https://www.diodes.com/datasheet/download/DMP2120U.pdf")</f>
        <v>https://www.diodes.com/datasheet/download/DMP2120U.pdf</v>
      </c>
      <c r="C984" t="str">
        <f>Hyperlink("https://www.diodes.com/part/view/DMP2120U","DMP2120U")</f>
        <v>DMP2120U</v>
      </c>
      <c r="D984" t="s">
        <v>636</v>
      </c>
      <c r="E984" t="s">
        <v>30</v>
      </c>
      <c r="F984" t="s">
        <v>28</v>
      </c>
      <c r="G984" t="s">
        <v>75</v>
      </c>
      <c r="H984" t="s">
        <v>30</v>
      </c>
      <c r="I984">
        <v>20</v>
      </c>
      <c r="J984">
        <v>8</v>
      </c>
      <c r="K984">
        <v>3.8</v>
      </c>
      <c r="M984">
        <v>1.3</v>
      </c>
      <c r="P984">
        <v>62</v>
      </c>
      <c r="Q984">
        <v>90</v>
      </c>
      <c r="R984">
        <v>150</v>
      </c>
      <c r="S984">
        <v>0.4</v>
      </c>
      <c r="T984">
        <v>1</v>
      </c>
      <c r="U984">
        <v>6.3</v>
      </c>
      <c r="W984">
        <v>487</v>
      </c>
      <c r="X984">
        <v>20</v>
      </c>
      <c r="Y984" t="s">
        <v>35</v>
      </c>
    </row>
    <row r="985" spans="1:25">
      <c r="A985" t="s">
        <v>1804</v>
      </c>
      <c r="B985" s="2" t="str">
        <f>Hyperlink("https://www.diodes.com/datasheet/download/DMP2123L.pdf")</f>
        <v>https://www.diodes.com/datasheet/download/DMP2123L.pdf</v>
      </c>
      <c r="C985" t="str">
        <f>Hyperlink("https://www.diodes.com/part/view/DMP2123L","DMP2123L")</f>
        <v>DMP2123L</v>
      </c>
      <c r="D985" t="s">
        <v>74</v>
      </c>
      <c r="E985" t="s">
        <v>27</v>
      </c>
      <c r="F985" t="s">
        <v>28</v>
      </c>
      <c r="G985" t="s">
        <v>75</v>
      </c>
      <c r="H985" t="s">
        <v>30</v>
      </c>
      <c r="I985">
        <v>20</v>
      </c>
      <c r="J985">
        <v>12</v>
      </c>
      <c r="K985">
        <v>3</v>
      </c>
      <c r="M985">
        <v>1.4</v>
      </c>
      <c r="P985">
        <v>72</v>
      </c>
      <c r="Q985">
        <v>123</v>
      </c>
      <c r="S985">
        <v>0.6</v>
      </c>
      <c r="T985">
        <v>1.25</v>
      </c>
      <c r="U985">
        <v>7.3</v>
      </c>
      <c r="W985">
        <v>443</v>
      </c>
      <c r="X985">
        <v>16</v>
      </c>
      <c r="Y985" t="s">
        <v>35</v>
      </c>
    </row>
    <row r="986" spans="1:25">
      <c r="A986" t="s">
        <v>1805</v>
      </c>
      <c r="B986" s="2" t="str">
        <f>Hyperlink("https://www.diodes.com/datasheet/download/DMP2123LQ.pdf")</f>
        <v>https://www.diodes.com/datasheet/download/DMP2123LQ.pdf</v>
      </c>
      <c r="C986" t="str">
        <f>Hyperlink("https://www.diodes.com/part/view/DMP2123LQ","DMP2123LQ")</f>
        <v>DMP2123LQ</v>
      </c>
      <c r="D986" t="s">
        <v>636</v>
      </c>
      <c r="E986" t="s">
        <v>27</v>
      </c>
      <c r="F986" t="s">
        <v>37</v>
      </c>
      <c r="G986" t="s">
        <v>75</v>
      </c>
      <c r="H986" t="s">
        <v>30</v>
      </c>
      <c r="I986">
        <v>20</v>
      </c>
      <c r="J986">
        <v>12</v>
      </c>
      <c r="K986">
        <v>3</v>
      </c>
      <c r="M986">
        <v>1.4</v>
      </c>
      <c r="P986">
        <v>72</v>
      </c>
      <c r="Q986">
        <v>123</v>
      </c>
      <c r="S986">
        <v>0.6</v>
      </c>
      <c r="T986">
        <v>1.25</v>
      </c>
      <c r="U986">
        <v>7.3</v>
      </c>
      <c r="W986">
        <v>443</v>
      </c>
      <c r="X986">
        <v>16</v>
      </c>
      <c r="Y986" t="s">
        <v>35</v>
      </c>
    </row>
    <row r="987" spans="1:25">
      <c r="A987" t="s">
        <v>1806</v>
      </c>
      <c r="B987" s="2" t="str">
        <f>Hyperlink("https://www.diodes.com/datasheet/download/DMP2130L.pdf")</f>
        <v>https://www.diodes.com/datasheet/download/DMP2130L.pdf</v>
      </c>
      <c r="C987" t="str">
        <f>Hyperlink("https://www.diodes.com/part/view/DMP2130L","DMP2130L")</f>
        <v>DMP2130L</v>
      </c>
      <c r="D987" t="s">
        <v>74</v>
      </c>
      <c r="E987" t="s">
        <v>27</v>
      </c>
      <c r="F987" t="s">
        <v>28</v>
      </c>
      <c r="G987" t="s">
        <v>75</v>
      </c>
      <c r="H987" t="s">
        <v>30</v>
      </c>
      <c r="I987">
        <v>20</v>
      </c>
      <c r="J987">
        <v>12</v>
      </c>
      <c r="K987">
        <v>3</v>
      </c>
      <c r="M987">
        <v>1.4</v>
      </c>
      <c r="P987">
        <v>75</v>
      </c>
      <c r="Q987">
        <v>125</v>
      </c>
      <c r="S987">
        <v>0.6</v>
      </c>
      <c r="T987">
        <v>1.25</v>
      </c>
      <c r="U987">
        <v>7.3</v>
      </c>
      <c r="W987">
        <v>443</v>
      </c>
      <c r="X987">
        <v>16</v>
      </c>
      <c r="Y987" t="s">
        <v>35</v>
      </c>
    </row>
    <row r="988" spans="1:25">
      <c r="A988" t="s">
        <v>1807</v>
      </c>
      <c r="B988" s="2" t="str">
        <f>Hyperlink("https://www.diodes.com/datasheet/download/DMP2130LDM.pdf")</f>
        <v>https://www.diodes.com/datasheet/download/DMP2130LDM.pdf</v>
      </c>
      <c r="C988" t="str">
        <f>Hyperlink("https://www.diodes.com/part/view/DMP2130LDM","DMP2130LDM")</f>
        <v>DMP2130LDM</v>
      </c>
      <c r="D988" t="s">
        <v>74</v>
      </c>
      <c r="E988" t="s">
        <v>27</v>
      </c>
      <c r="F988" t="s">
        <v>28</v>
      </c>
      <c r="G988" t="s">
        <v>75</v>
      </c>
      <c r="H988" t="s">
        <v>30</v>
      </c>
      <c r="I988">
        <v>20</v>
      </c>
      <c r="J988">
        <v>12</v>
      </c>
      <c r="K988">
        <v>3.4</v>
      </c>
      <c r="M988">
        <v>1.25</v>
      </c>
      <c r="P988">
        <v>80</v>
      </c>
      <c r="Q988">
        <v>130</v>
      </c>
      <c r="S988">
        <v>0.6</v>
      </c>
      <c r="T988">
        <v>1.25</v>
      </c>
      <c r="U988">
        <v>7.3</v>
      </c>
      <c r="W988">
        <v>443</v>
      </c>
      <c r="X988">
        <v>16</v>
      </c>
      <c r="Y988" t="s">
        <v>339</v>
      </c>
    </row>
    <row r="989" spans="1:25">
      <c r="A989" t="s">
        <v>1808</v>
      </c>
      <c r="B989" s="2" t="str">
        <f>Hyperlink("https://www.diodes.com/datasheet/download/DMP213DUFA.pdf")</f>
        <v>https://www.diodes.com/datasheet/download/DMP213DUFA.pdf</v>
      </c>
      <c r="C989" t="str">
        <f>Hyperlink("https://www.diodes.com/part/view/DMP213DUFA","DMP213DUFA")</f>
        <v>DMP213DUFA</v>
      </c>
      <c r="D989" t="s">
        <v>74</v>
      </c>
      <c r="E989" t="s">
        <v>30</v>
      </c>
      <c r="F989" t="s">
        <v>28</v>
      </c>
      <c r="G989" t="s">
        <v>75</v>
      </c>
      <c r="H989" t="s">
        <v>27</v>
      </c>
      <c r="I989">
        <v>25</v>
      </c>
      <c r="J989">
        <v>8</v>
      </c>
      <c r="K989">
        <v>0.166</v>
      </c>
      <c r="M989">
        <v>0.36</v>
      </c>
      <c r="P989">
        <v>10000</v>
      </c>
      <c r="Q989">
        <v>13000</v>
      </c>
      <c r="S989">
        <v>0.65</v>
      </c>
      <c r="T989">
        <v>1.5</v>
      </c>
      <c r="U989">
        <v>0.35</v>
      </c>
      <c r="W989">
        <v>27.2</v>
      </c>
      <c r="X989">
        <v>10</v>
      </c>
      <c r="Y989" t="s">
        <v>855</v>
      </c>
    </row>
    <row r="990" spans="1:25">
      <c r="A990" t="s">
        <v>1809</v>
      </c>
      <c r="B990" s="2" t="str">
        <f>Hyperlink("https://www.diodes.com/datasheet/download/DMP2160UWQ.pdf")</f>
        <v>https://www.diodes.com/datasheet/download/DMP2160UWQ.pdf</v>
      </c>
      <c r="C990" t="str">
        <f>Hyperlink("https://www.diodes.com/part/view/DMP2160UWQ","DMP2160UWQ")</f>
        <v>DMP2160UWQ</v>
      </c>
      <c r="D990" t="s">
        <v>74</v>
      </c>
      <c r="E990" t="s">
        <v>27</v>
      </c>
      <c r="F990" t="s">
        <v>37</v>
      </c>
      <c r="G990" t="s">
        <v>75</v>
      </c>
      <c r="H990" t="s">
        <v>30</v>
      </c>
      <c r="I990">
        <v>20</v>
      </c>
      <c r="J990">
        <v>10</v>
      </c>
      <c r="K990">
        <v>1.5</v>
      </c>
      <c r="M990">
        <v>0.35</v>
      </c>
      <c r="P990">
        <v>100</v>
      </c>
      <c r="Q990">
        <v>120</v>
      </c>
      <c r="T990">
        <v>0.9</v>
      </c>
      <c r="W990">
        <v>627</v>
      </c>
      <c r="X990">
        <v>10</v>
      </c>
      <c r="Y990" t="s">
        <v>92</v>
      </c>
    </row>
    <row r="991" spans="1:25">
      <c r="A991" t="s">
        <v>1810</v>
      </c>
      <c r="B991" s="2" t="str">
        <f>Hyperlink("https://www.diodes.com/datasheet/download/DMP2165UW.pdf")</f>
        <v>https://www.diodes.com/datasheet/download/DMP2165UW.pdf</v>
      </c>
      <c r="C991" t="str">
        <f>Hyperlink("https://www.diodes.com/part/view/DMP2165UW","DMP2165UW")</f>
        <v>DMP2165UW</v>
      </c>
      <c r="D991" t="s">
        <v>74</v>
      </c>
      <c r="E991" t="s">
        <v>30</v>
      </c>
      <c r="F991" t="s">
        <v>28</v>
      </c>
      <c r="G991" t="s">
        <v>75</v>
      </c>
      <c r="H991" t="s">
        <v>27</v>
      </c>
      <c r="I991">
        <v>20</v>
      </c>
      <c r="J991">
        <v>12</v>
      </c>
      <c r="K991">
        <v>2.5</v>
      </c>
      <c r="M991">
        <v>0.7</v>
      </c>
      <c r="P991">
        <v>90</v>
      </c>
      <c r="Q991">
        <v>120</v>
      </c>
      <c r="R991">
        <v>180</v>
      </c>
      <c r="S991">
        <v>0.4</v>
      </c>
      <c r="T991">
        <v>1</v>
      </c>
      <c r="U991">
        <v>3.5</v>
      </c>
      <c r="W991">
        <v>184</v>
      </c>
      <c r="X991">
        <v>10</v>
      </c>
      <c r="Y991" t="s">
        <v>92</v>
      </c>
    </row>
    <row r="992" spans="1:25">
      <c r="A992" t="s">
        <v>1811</v>
      </c>
      <c r="B992" s="2" t="str">
        <f>Hyperlink("https://www.diodes.com/datasheet/download/DMP2170U.pdf")</f>
        <v>https://www.diodes.com/datasheet/download/DMP2170U.pdf</v>
      </c>
      <c r="C992" t="str">
        <f>Hyperlink("https://www.diodes.com/part/view/DMP2170U","DMP2170U")</f>
        <v>DMP2170U</v>
      </c>
      <c r="D992" t="s">
        <v>636</v>
      </c>
      <c r="E992" t="s">
        <v>27</v>
      </c>
      <c r="F992" t="s">
        <v>28</v>
      </c>
      <c r="G992" t="s">
        <v>75</v>
      </c>
      <c r="H992" t="s">
        <v>30</v>
      </c>
      <c r="I992">
        <v>20</v>
      </c>
      <c r="J992">
        <v>12</v>
      </c>
      <c r="K992">
        <v>3.1</v>
      </c>
      <c r="M992">
        <v>1.28</v>
      </c>
      <c r="P992">
        <v>90</v>
      </c>
      <c r="Q992">
        <v>250</v>
      </c>
      <c r="S992">
        <v>0.4</v>
      </c>
      <c r="T992">
        <v>1.25</v>
      </c>
      <c r="U992">
        <v>3.6</v>
      </c>
      <c r="V992">
        <v>7.8</v>
      </c>
      <c r="W992">
        <v>303</v>
      </c>
      <c r="X992">
        <v>10</v>
      </c>
      <c r="Y992" t="s">
        <v>35</v>
      </c>
    </row>
    <row r="993" spans="1:25">
      <c r="A993" t="s">
        <v>1812</v>
      </c>
      <c r="B993" s="2" t="str">
        <f>Hyperlink("https://www.diodes.com/datasheet/download/DMP21D0UFB.pdf")</f>
        <v>https://www.diodes.com/datasheet/download/DMP21D0UFB.pdf</v>
      </c>
      <c r="C993" t="str">
        <f>Hyperlink("https://www.diodes.com/part/view/DMP21D0UFB","DMP21D0UFB")</f>
        <v>DMP21D0UFB</v>
      </c>
      <c r="D993" t="s">
        <v>74</v>
      </c>
      <c r="E993" t="s">
        <v>27</v>
      </c>
      <c r="F993" t="s">
        <v>28</v>
      </c>
      <c r="G993" t="s">
        <v>75</v>
      </c>
      <c r="H993" t="s">
        <v>27</v>
      </c>
      <c r="I993">
        <v>20</v>
      </c>
      <c r="J993">
        <v>8</v>
      </c>
      <c r="K993">
        <v>1.17</v>
      </c>
      <c r="M993">
        <v>0.99</v>
      </c>
      <c r="P993">
        <v>495</v>
      </c>
      <c r="Q993">
        <v>690</v>
      </c>
      <c r="R993">
        <v>960</v>
      </c>
      <c r="S993">
        <v>0.5</v>
      </c>
      <c r="T993">
        <v>1</v>
      </c>
      <c r="U993">
        <v>1</v>
      </c>
      <c r="W993">
        <v>76.5</v>
      </c>
      <c r="X993">
        <v>10</v>
      </c>
      <c r="Y993" t="s">
        <v>846</v>
      </c>
    </row>
    <row r="994" spans="1:25">
      <c r="A994" t="s">
        <v>1813</v>
      </c>
      <c r="B994" s="2" t="str">
        <f>Hyperlink("https://www.diodes.com/datasheet/download/DMP21D0UFB4.pdf")</f>
        <v>https://www.diodes.com/datasheet/download/DMP21D0UFB4.pdf</v>
      </c>
      <c r="C994" t="str">
        <f>Hyperlink("https://www.diodes.com/part/view/DMP21D0UFB4","DMP21D0UFB4")</f>
        <v>DMP21D0UFB4</v>
      </c>
      <c r="D994" t="s">
        <v>74</v>
      </c>
      <c r="E994" t="s">
        <v>27</v>
      </c>
      <c r="F994" t="s">
        <v>28</v>
      </c>
      <c r="G994" t="s">
        <v>75</v>
      </c>
      <c r="H994" t="s">
        <v>27</v>
      </c>
      <c r="I994">
        <v>20</v>
      </c>
      <c r="J994">
        <v>8</v>
      </c>
      <c r="K994">
        <v>1.17</v>
      </c>
      <c r="M994">
        <v>0.99</v>
      </c>
      <c r="P994">
        <v>495</v>
      </c>
      <c r="Q994">
        <v>690</v>
      </c>
      <c r="R994">
        <v>960</v>
      </c>
      <c r="S994">
        <v>0.5</v>
      </c>
      <c r="T994">
        <v>1</v>
      </c>
      <c r="U994">
        <v>1</v>
      </c>
      <c r="W994">
        <v>76.5</v>
      </c>
      <c r="X994">
        <v>10</v>
      </c>
      <c r="Y994" t="s">
        <v>901</v>
      </c>
    </row>
    <row r="995" spans="1:25">
      <c r="A995" t="s">
        <v>1814</v>
      </c>
      <c r="B995" s="2" t="str">
        <f>Hyperlink("https://www.diodes.com/datasheet/download/DMP21D0UFD.pdf")</f>
        <v>https://www.diodes.com/datasheet/download/DMP21D0UFD.pdf</v>
      </c>
      <c r="C995" t="str">
        <f>Hyperlink("https://www.diodes.com/part/view/DMP21D0UFD","DMP21D0UFD")</f>
        <v>DMP21D0UFD</v>
      </c>
      <c r="D995" t="s">
        <v>74</v>
      </c>
      <c r="E995" t="s">
        <v>27</v>
      </c>
      <c r="F995" t="s">
        <v>28</v>
      </c>
      <c r="G995" t="s">
        <v>75</v>
      </c>
      <c r="H995" t="s">
        <v>27</v>
      </c>
      <c r="I995">
        <v>20</v>
      </c>
      <c r="J995">
        <v>8</v>
      </c>
      <c r="K995">
        <v>1.14</v>
      </c>
      <c r="M995">
        <v>0.93</v>
      </c>
      <c r="P995">
        <v>495</v>
      </c>
      <c r="Q995">
        <v>730</v>
      </c>
      <c r="R995">
        <v>960</v>
      </c>
      <c r="S995">
        <v>0.45</v>
      </c>
      <c r="T995">
        <v>1.2</v>
      </c>
      <c r="U995">
        <v>1</v>
      </c>
      <c r="W995">
        <v>76.5</v>
      </c>
      <c r="X995">
        <v>10</v>
      </c>
      <c r="Y995" t="s">
        <v>1029</v>
      </c>
    </row>
    <row r="996" spans="1:25">
      <c r="A996" t="s">
        <v>1815</v>
      </c>
      <c r="B996" s="2" t="str">
        <f>Hyperlink("https://www.diodes.com/datasheet/download/DMP21D0UT.pdf")</f>
        <v>https://www.diodes.com/datasheet/download/DMP21D0UT.pdf</v>
      </c>
      <c r="C996" t="str">
        <f>Hyperlink("https://www.diodes.com/part/view/DMP21D0UT","DMP21D0UT")</f>
        <v>DMP21D0UT</v>
      </c>
      <c r="D996" t="s">
        <v>74</v>
      </c>
      <c r="E996" t="s">
        <v>27</v>
      </c>
      <c r="F996" t="s">
        <v>28</v>
      </c>
      <c r="G996" t="s">
        <v>75</v>
      </c>
      <c r="H996" t="s">
        <v>27</v>
      </c>
      <c r="I996">
        <v>20</v>
      </c>
      <c r="J996">
        <v>8</v>
      </c>
      <c r="K996">
        <v>0.65</v>
      </c>
      <c r="M996">
        <v>0.33</v>
      </c>
      <c r="P996">
        <v>495</v>
      </c>
      <c r="Q996">
        <v>690</v>
      </c>
      <c r="R996">
        <v>960</v>
      </c>
      <c r="S996">
        <v>0.45</v>
      </c>
      <c r="T996">
        <v>1.2</v>
      </c>
      <c r="U996">
        <v>1</v>
      </c>
      <c r="W996">
        <v>76.5</v>
      </c>
      <c r="X996">
        <v>10</v>
      </c>
      <c r="Y996" t="s">
        <v>56</v>
      </c>
    </row>
    <row r="997" spans="1:25">
      <c r="A997" t="s">
        <v>1816</v>
      </c>
      <c r="B997" s="2" t="str">
        <f>Hyperlink("https://www.diodes.com/datasheet/download/DMP21D1UT.pdf")</f>
        <v>https://www.diodes.com/datasheet/download/DMP21D1UT.pdf</v>
      </c>
      <c r="C997" t="str">
        <f>Hyperlink("https://www.diodes.com/part/view/DMP21D1UT","DMP21D1UT")</f>
        <v>DMP21D1UT</v>
      </c>
      <c r="D997" t="s">
        <v>1645</v>
      </c>
      <c r="E997" t="s">
        <v>30</v>
      </c>
      <c r="F997" t="s">
        <v>28</v>
      </c>
      <c r="G997" t="s">
        <v>75</v>
      </c>
      <c r="H997" t="s">
        <v>27</v>
      </c>
      <c r="I997">
        <v>20</v>
      </c>
      <c r="J997">
        <v>8</v>
      </c>
      <c r="K997">
        <v>0.63</v>
      </c>
      <c r="M997">
        <v>0.44</v>
      </c>
      <c r="P997">
        <v>710</v>
      </c>
      <c r="Q997">
        <v>930</v>
      </c>
      <c r="R997">
        <v>1250</v>
      </c>
      <c r="S997">
        <v>0.5</v>
      </c>
      <c r="T997">
        <v>1</v>
      </c>
      <c r="U997">
        <v>1.4</v>
      </c>
      <c r="W997">
        <v>33</v>
      </c>
      <c r="X997">
        <v>10</v>
      </c>
      <c r="Y997" t="s">
        <v>56</v>
      </c>
    </row>
    <row r="998" spans="1:25">
      <c r="A998" t="s">
        <v>1817</v>
      </c>
      <c r="B998" s="2" t="str">
        <f>Hyperlink("https://www.diodes.com/datasheet/download/DMP21D1UTQ.pdf")</f>
        <v>https://www.diodes.com/datasheet/download/DMP21D1UTQ.pdf</v>
      </c>
      <c r="C998" t="str">
        <f>Hyperlink("https://www.diodes.com/part/view/DMP21D1UTQ","DMP21D1UTQ")</f>
        <v>DMP21D1UTQ</v>
      </c>
      <c r="D998" t="s">
        <v>1645</v>
      </c>
      <c r="E998" t="s">
        <v>27</v>
      </c>
      <c r="F998" t="s">
        <v>37</v>
      </c>
      <c r="G998" t="s">
        <v>75</v>
      </c>
      <c r="H998" t="s">
        <v>27</v>
      </c>
      <c r="I998">
        <v>20</v>
      </c>
      <c r="J998">
        <v>8</v>
      </c>
      <c r="K998">
        <v>0.63</v>
      </c>
      <c r="M998">
        <v>0.44</v>
      </c>
      <c r="P998">
        <v>710</v>
      </c>
      <c r="Q998">
        <v>930</v>
      </c>
      <c r="R998">
        <v>1250</v>
      </c>
      <c r="S998">
        <v>0.5</v>
      </c>
      <c r="T998">
        <v>1</v>
      </c>
      <c r="U998">
        <v>1.4</v>
      </c>
      <c r="W998">
        <v>33</v>
      </c>
      <c r="X998">
        <v>10</v>
      </c>
      <c r="Y998" t="s">
        <v>56</v>
      </c>
    </row>
    <row r="999" spans="1:25">
      <c r="A999" t="s">
        <v>1818</v>
      </c>
      <c r="B999" s="2" t="str">
        <f>Hyperlink("https://www.diodes.com/datasheet/download/DMP21D2UFA.pdf")</f>
        <v>https://www.diodes.com/datasheet/download/DMP21D2UFA.pdf</v>
      </c>
      <c r="C999" t="str">
        <f>Hyperlink("https://www.diodes.com/part/view/DMP21D2UFA","DMP21D2UFA")</f>
        <v>DMP21D2UFA</v>
      </c>
      <c r="D999" t="s">
        <v>74</v>
      </c>
      <c r="E999" t="s">
        <v>30</v>
      </c>
      <c r="F999" t="s">
        <v>28</v>
      </c>
      <c r="G999" t="s">
        <v>75</v>
      </c>
      <c r="H999" t="s">
        <v>27</v>
      </c>
      <c r="I999">
        <v>20</v>
      </c>
      <c r="J999">
        <v>8</v>
      </c>
      <c r="K999">
        <v>0.33</v>
      </c>
      <c r="M999">
        <v>0.36</v>
      </c>
      <c r="P999">
        <v>1000</v>
      </c>
      <c r="Q999">
        <v>1200</v>
      </c>
      <c r="R999">
        <v>1600</v>
      </c>
      <c r="S999">
        <v>0.3</v>
      </c>
      <c r="T999">
        <v>1</v>
      </c>
      <c r="U999">
        <v>0.8</v>
      </c>
      <c r="W999">
        <v>49</v>
      </c>
      <c r="X999">
        <v>15</v>
      </c>
      <c r="Y999" t="s">
        <v>855</v>
      </c>
    </row>
    <row r="1000" spans="1:25">
      <c r="A1000" t="s">
        <v>1819</v>
      </c>
      <c r="B1000" s="2" t="str">
        <f>Hyperlink("https://www.diodes.com/datasheet/download/DMP21D5UFB4.pdf")</f>
        <v>https://www.diodes.com/datasheet/download/DMP21D5UFB4.pdf</v>
      </c>
      <c r="C1000" t="str">
        <f>Hyperlink("https://www.diodes.com/part/view/DMP21D5UFB4","DMP21D5UFB4")</f>
        <v>DMP21D5UFB4</v>
      </c>
      <c r="D1000" t="s">
        <v>74</v>
      </c>
      <c r="E1000" t="s">
        <v>27</v>
      </c>
      <c r="F1000" t="s">
        <v>28</v>
      </c>
      <c r="G1000" t="s">
        <v>75</v>
      </c>
      <c r="H1000" t="s">
        <v>27</v>
      </c>
      <c r="I1000">
        <v>20</v>
      </c>
      <c r="J1000">
        <v>8</v>
      </c>
      <c r="K1000">
        <v>0.7</v>
      </c>
      <c r="M1000">
        <v>0.95</v>
      </c>
      <c r="P1000">
        <v>1000</v>
      </c>
      <c r="Q1000">
        <v>1500</v>
      </c>
      <c r="R1000">
        <v>2000</v>
      </c>
      <c r="S1000">
        <v>0.5</v>
      </c>
      <c r="T1000">
        <v>1</v>
      </c>
      <c r="U1000">
        <v>0.5</v>
      </c>
      <c r="W1000">
        <v>46.1</v>
      </c>
      <c r="X1000">
        <v>10</v>
      </c>
      <c r="Y1000" t="s">
        <v>901</v>
      </c>
    </row>
    <row r="1001" spans="1:25">
      <c r="A1001" t="s">
        <v>1820</v>
      </c>
      <c r="B1001" s="2" t="str">
        <f>Hyperlink("https://www.diodes.com/datasheet/download/DMP21D6UFB4.pdf")</f>
        <v>https://www.diodes.com/datasheet/download/DMP21D6UFB4.pdf</v>
      </c>
      <c r="C1001" t="str">
        <f>Hyperlink("https://www.diodes.com/part/view/DMP21D6UFB4","DMP21D6UFB4")</f>
        <v>DMP21D6UFB4</v>
      </c>
      <c r="D1001" t="s">
        <v>636</v>
      </c>
      <c r="E1001" t="s">
        <v>30</v>
      </c>
      <c r="F1001" t="s">
        <v>28</v>
      </c>
      <c r="G1001" t="s">
        <v>75</v>
      </c>
      <c r="H1001" t="s">
        <v>27</v>
      </c>
      <c r="I1001">
        <v>20</v>
      </c>
      <c r="J1001">
        <v>8</v>
      </c>
      <c r="K1001">
        <v>0.58</v>
      </c>
      <c r="M1001">
        <v>0.98</v>
      </c>
      <c r="P1001">
        <v>1000</v>
      </c>
      <c r="Q1001">
        <v>1500</v>
      </c>
      <c r="R1001">
        <v>2000</v>
      </c>
      <c r="S1001">
        <v>0.5</v>
      </c>
      <c r="T1001">
        <v>1</v>
      </c>
      <c r="U1001">
        <v>0.5</v>
      </c>
      <c r="V1001" t="s">
        <v>1821</v>
      </c>
      <c r="W1001">
        <v>46.1</v>
      </c>
      <c r="X1001">
        <v>10</v>
      </c>
      <c r="Y1001" t="s">
        <v>901</v>
      </c>
    </row>
    <row r="1002" spans="1:25">
      <c r="A1002" t="s">
        <v>1822</v>
      </c>
      <c r="B1002" s="2" t="str">
        <f>Hyperlink("https://www.diodes.com/datasheet/download/DMP21D6UFD.pdf")</f>
        <v>https://www.diodes.com/datasheet/download/DMP21D6UFD.pdf</v>
      </c>
      <c r="C1002" t="str">
        <f>Hyperlink("https://www.diodes.com/part/view/DMP21D6UFD","DMP21D6UFD")</f>
        <v>DMP21D6UFD</v>
      </c>
      <c r="D1002" t="s">
        <v>74</v>
      </c>
      <c r="E1002" t="s">
        <v>30</v>
      </c>
      <c r="F1002" t="s">
        <v>28</v>
      </c>
      <c r="G1002" t="s">
        <v>75</v>
      </c>
      <c r="H1002" t="s">
        <v>27</v>
      </c>
      <c r="I1002">
        <v>20</v>
      </c>
      <c r="J1002">
        <v>8</v>
      </c>
      <c r="K1002">
        <v>0.6</v>
      </c>
      <c r="M1002">
        <v>0.8</v>
      </c>
      <c r="P1002">
        <v>1000</v>
      </c>
      <c r="Q1002">
        <v>1500</v>
      </c>
      <c r="R1002">
        <v>2000</v>
      </c>
      <c r="S1002">
        <v>0.5</v>
      </c>
      <c r="T1002">
        <v>1</v>
      </c>
      <c r="U1002">
        <v>0.5</v>
      </c>
      <c r="W1002">
        <v>46.1</v>
      </c>
      <c r="X1002">
        <v>10</v>
      </c>
      <c r="Y1002" t="s">
        <v>1029</v>
      </c>
    </row>
    <row r="1003" spans="1:25">
      <c r="A1003" t="s">
        <v>1823</v>
      </c>
      <c r="B1003" s="2" t="str">
        <f>Hyperlink("https://www.diodes.com/datasheet/download/DMP2200UDW.pdf")</f>
        <v>https://www.diodes.com/datasheet/download/DMP2200UDW.pdf</v>
      </c>
      <c r="C1003" t="str">
        <f>Hyperlink("https://www.diodes.com/part/view/DMP2200UDW","DMP2200UDW")</f>
        <v>DMP2200UDW</v>
      </c>
      <c r="D1003" t="s">
        <v>123</v>
      </c>
      <c r="E1003" t="s">
        <v>30</v>
      </c>
      <c r="F1003" t="s">
        <v>28</v>
      </c>
      <c r="G1003" t="s">
        <v>124</v>
      </c>
      <c r="H1003" t="s">
        <v>27</v>
      </c>
      <c r="I1003">
        <v>20</v>
      </c>
      <c r="J1003">
        <v>8</v>
      </c>
      <c r="K1003">
        <v>0.9</v>
      </c>
      <c r="M1003">
        <v>0.6</v>
      </c>
      <c r="P1003">
        <v>260</v>
      </c>
      <c r="Q1003">
        <v>500</v>
      </c>
      <c r="R1003">
        <v>1000</v>
      </c>
      <c r="S1003">
        <v>0.4</v>
      </c>
      <c r="T1003">
        <v>1.2</v>
      </c>
      <c r="U1003">
        <v>2.1</v>
      </c>
      <c r="W1003">
        <v>184</v>
      </c>
      <c r="X1003">
        <v>10</v>
      </c>
      <c r="Y1003" t="s">
        <v>42</v>
      </c>
    </row>
    <row r="1004" spans="1:25">
      <c r="A1004" t="s">
        <v>1824</v>
      </c>
      <c r="B1004" s="2" t="str">
        <f>Hyperlink("https://www.diodes.com/datasheet/download/DMP2200UFCL.pdf")</f>
        <v>https://www.diodes.com/datasheet/download/DMP2200UFCL.pdf</v>
      </c>
      <c r="C1004" t="str">
        <f>Hyperlink("https://www.diodes.com/part/view/DMP2200UFCL","DMP2200UFCL")</f>
        <v>DMP2200UFCL</v>
      </c>
      <c r="D1004" t="s">
        <v>123</v>
      </c>
      <c r="E1004" t="s">
        <v>27</v>
      </c>
      <c r="F1004" t="s">
        <v>28</v>
      </c>
      <c r="G1004" t="s">
        <v>124</v>
      </c>
      <c r="H1004" t="s">
        <v>27</v>
      </c>
      <c r="I1004">
        <v>20</v>
      </c>
      <c r="J1004">
        <v>8</v>
      </c>
      <c r="K1004">
        <v>1.7</v>
      </c>
      <c r="M1004">
        <v>1.58</v>
      </c>
      <c r="P1004">
        <v>200</v>
      </c>
      <c r="Q1004">
        <v>290</v>
      </c>
      <c r="R1004">
        <v>390</v>
      </c>
      <c r="S1004">
        <v>0.4</v>
      </c>
      <c r="T1004">
        <v>1.2</v>
      </c>
      <c r="U1004">
        <v>2.2</v>
      </c>
      <c r="W1004">
        <v>184</v>
      </c>
      <c r="X1004">
        <v>10</v>
      </c>
      <c r="Y1004" t="s">
        <v>1825</v>
      </c>
    </row>
    <row r="1005" spans="1:25">
      <c r="A1005" t="s">
        <v>1826</v>
      </c>
      <c r="B1005" s="2" t="str">
        <f>Hyperlink("https://www.diodes.com/datasheet/download/DMP2240UDM.pdf")</f>
        <v>https://www.diodes.com/datasheet/download/DMP2240UDM.pdf</v>
      </c>
      <c r="C1005" t="str">
        <f>Hyperlink("https://www.diodes.com/part/view/DMP2240UDM","DMP2240UDM")</f>
        <v>DMP2240UDM</v>
      </c>
      <c r="D1005" t="s">
        <v>123</v>
      </c>
      <c r="E1005" t="s">
        <v>27</v>
      </c>
      <c r="F1005" t="s">
        <v>28</v>
      </c>
      <c r="G1005" t="s">
        <v>124</v>
      </c>
      <c r="H1005" t="s">
        <v>30</v>
      </c>
      <c r="I1005">
        <v>20</v>
      </c>
      <c r="J1005">
        <v>12</v>
      </c>
      <c r="K1005">
        <v>2</v>
      </c>
      <c r="M1005">
        <v>0.6</v>
      </c>
      <c r="P1005">
        <v>150</v>
      </c>
      <c r="Q1005">
        <v>200</v>
      </c>
      <c r="R1005">
        <v>240</v>
      </c>
      <c r="S1005">
        <v>0.45</v>
      </c>
      <c r="T1005">
        <v>1</v>
      </c>
      <c r="W1005">
        <v>320</v>
      </c>
      <c r="X1005">
        <v>16</v>
      </c>
      <c r="Y1005" t="s">
        <v>339</v>
      </c>
    </row>
    <row r="1006" spans="1:25">
      <c r="A1006" t="s">
        <v>1827</v>
      </c>
      <c r="B1006" s="2" t="str">
        <f>Hyperlink("https://www.diodes.com/datasheet/download/DMP2240UW.pdf")</f>
        <v>https://www.diodes.com/datasheet/download/DMP2240UW.pdf</v>
      </c>
      <c r="C1006" t="str">
        <f>Hyperlink("https://www.diodes.com/part/view/DMP2240UW","DMP2240UW")</f>
        <v>DMP2240UW</v>
      </c>
      <c r="D1006" t="s">
        <v>74</v>
      </c>
      <c r="E1006" t="s">
        <v>27</v>
      </c>
      <c r="F1006" t="s">
        <v>28</v>
      </c>
      <c r="G1006" t="s">
        <v>75</v>
      </c>
      <c r="H1006" t="s">
        <v>30</v>
      </c>
      <c r="I1006">
        <v>20</v>
      </c>
      <c r="J1006">
        <v>12</v>
      </c>
      <c r="K1006">
        <v>1.5</v>
      </c>
      <c r="M1006">
        <v>0.25</v>
      </c>
      <c r="P1006">
        <v>150</v>
      </c>
      <c r="Q1006">
        <v>200</v>
      </c>
      <c r="R1006">
        <v>240</v>
      </c>
      <c r="S1006">
        <v>0.45</v>
      </c>
      <c r="T1006">
        <v>1</v>
      </c>
      <c r="W1006">
        <v>320</v>
      </c>
      <c r="X1006">
        <v>16</v>
      </c>
      <c r="Y1006" t="s">
        <v>92</v>
      </c>
    </row>
    <row r="1007" spans="1:25">
      <c r="A1007" t="s">
        <v>1828</v>
      </c>
      <c r="B1007" s="2" t="str">
        <f>Hyperlink("https://www.diodes.com/datasheet/download/DMP2240UWQ.pdf")</f>
        <v>https://www.diodes.com/datasheet/download/DMP2240UWQ.pdf</v>
      </c>
      <c r="C1007" t="str">
        <f>Hyperlink("https://www.diodes.com/part/view/DMP2240UWQ","DMP2240UWQ")</f>
        <v>DMP2240UWQ</v>
      </c>
      <c r="D1007" t="s">
        <v>636</v>
      </c>
      <c r="E1007" t="s">
        <v>27</v>
      </c>
      <c r="F1007" t="s">
        <v>37</v>
      </c>
      <c r="G1007" t="s">
        <v>75</v>
      </c>
      <c r="H1007" t="s">
        <v>30</v>
      </c>
      <c r="I1007">
        <v>20</v>
      </c>
      <c r="J1007">
        <v>12</v>
      </c>
      <c r="K1007">
        <v>1.5</v>
      </c>
      <c r="M1007">
        <v>0.25</v>
      </c>
      <c r="P1007">
        <v>150</v>
      </c>
      <c r="Q1007">
        <v>200</v>
      </c>
      <c r="R1007">
        <v>240</v>
      </c>
      <c r="S1007">
        <v>0.45</v>
      </c>
      <c r="T1007">
        <v>1</v>
      </c>
      <c r="W1007">
        <v>320</v>
      </c>
      <c r="X1007">
        <v>16</v>
      </c>
      <c r="Y1007" t="s">
        <v>92</v>
      </c>
    </row>
    <row r="1008" spans="1:25">
      <c r="A1008" t="s">
        <v>1829</v>
      </c>
      <c r="B1008" s="2" t="str">
        <f>Hyperlink("https://www.diodes.com/datasheet/download/DMP22D3UFZ.pdf")</f>
        <v>https://www.diodes.com/datasheet/download/DMP22D3UFZ.pdf</v>
      </c>
      <c r="C1008" t="str">
        <f>Hyperlink("https://www.diodes.com/part/view/DMP22D3UFZ","DMP22D3UFZ")</f>
        <v>DMP22D3UFZ</v>
      </c>
      <c r="D1008" t="s">
        <v>1645</v>
      </c>
      <c r="E1008" t="s">
        <v>30</v>
      </c>
      <c r="F1008" t="s">
        <v>28</v>
      </c>
      <c r="G1008" t="s">
        <v>75</v>
      </c>
      <c r="H1008" t="s">
        <v>27</v>
      </c>
      <c r="I1008">
        <v>20</v>
      </c>
      <c r="J1008">
        <v>8</v>
      </c>
      <c r="K1008">
        <v>0.39</v>
      </c>
      <c r="M1008">
        <v>0.37</v>
      </c>
      <c r="P1008">
        <v>1400</v>
      </c>
      <c r="Q1008">
        <v>2200</v>
      </c>
      <c r="R1008">
        <v>3300</v>
      </c>
      <c r="S1008">
        <v>0.4</v>
      </c>
      <c r="T1008">
        <v>1</v>
      </c>
      <c r="U1008">
        <v>0.3</v>
      </c>
      <c r="W1008">
        <v>17</v>
      </c>
      <c r="X1008">
        <v>16</v>
      </c>
      <c r="Y1008" t="s">
        <v>1078</v>
      </c>
    </row>
    <row r="1009" spans="1:25">
      <c r="A1009" t="s">
        <v>1830</v>
      </c>
      <c r="B1009" s="2" t="str">
        <f>Hyperlink("https://www.diodes.com/datasheet/download/DMP22D4UDA.pdf")</f>
        <v>https://www.diodes.com/datasheet/download/DMP22D4UDA.pdf</v>
      </c>
      <c r="C1009" t="str">
        <f>Hyperlink("https://www.diodes.com/part/view/DMP22D4UDA","DMP22D4UDA")</f>
        <v>DMP22D4UDA</v>
      </c>
      <c r="D1009" t="s">
        <v>636</v>
      </c>
      <c r="E1009" t="s">
        <v>27</v>
      </c>
      <c r="F1009" t="s">
        <v>28</v>
      </c>
      <c r="G1009" t="s">
        <v>124</v>
      </c>
      <c r="H1009" t="s">
        <v>27</v>
      </c>
      <c r="I1009">
        <v>20</v>
      </c>
      <c r="J1009">
        <v>8</v>
      </c>
      <c r="K1009">
        <v>0.33</v>
      </c>
      <c r="M1009">
        <v>0.31</v>
      </c>
      <c r="P1009">
        <v>1900</v>
      </c>
      <c r="Q1009">
        <v>2400</v>
      </c>
      <c r="R1009">
        <v>3400</v>
      </c>
      <c r="S1009">
        <v>0.4</v>
      </c>
      <c r="T1009">
        <v>1</v>
      </c>
      <c r="U1009">
        <v>0.4</v>
      </c>
      <c r="W1009">
        <v>28.5</v>
      </c>
      <c r="X1009">
        <v>15</v>
      </c>
      <c r="Y1009" t="s">
        <v>298</v>
      </c>
    </row>
    <row r="1010" spans="1:25">
      <c r="A1010" t="s">
        <v>1831</v>
      </c>
      <c r="B1010" s="2" t="str">
        <f>Hyperlink("https://www.diodes.com/datasheet/download/DMP22D4UFA.pdf")</f>
        <v>https://www.diodes.com/datasheet/download/DMP22D4UFA.pdf</v>
      </c>
      <c r="C1010" t="str">
        <f>Hyperlink("https://www.diodes.com/part/view/DMP22D4UFA","DMP22D4UFA")</f>
        <v>DMP22D4UFA</v>
      </c>
      <c r="D1010" t="s">
        <v>74</v>
      </c>
      <c r="E1010" t="s">
        <v>27</v>
      </c>
      <c r="F1010" t="s">
        <v>28</v>
      </c>
      <c r="G1010" t="s">
        <v>75</v>
      </c>
      <c r="H1010" t="s">
        <v>27</v>
      </c>
      <c r="I1010">
        <v>20</v>
      </c>
      <c r="J1010">
        <v>8</v>
      </c>
      <c r="K1010">
        <v>0.33</v>
      </c>
      <c r="M1010">
        <v>0.4</v>
      </c>
      <c r="P1010">
        <v>1900</v>
      </c>
      <c r="Q1010">
        <v>2400</v>
      </c>
      <c r="R1010">
        <v>3400</v>
      </c>
      <c r="S1010">
        <v>0.4</v>
      </c>
      <c r="T1010">
        <v>1</v>
      </c>
      <c r="U1010">
        <v>0.4</v>
      </c>
      <c r="W1010">
        <v>28.7</v>
      </c>
      <c r="X1010">
        <v>15</v>
      </c>
      <c r="Y1010" t="s">
        <v>855</v>
      </c>
    </row>
    <row r="1011" spans="1:25">
      <c r="A1011" t="s">
        <v>1832</v>
      </c>
      <c r="B1011" s="2" t="str">
        <f>Hyperlink("https://www.diodes.com/datasheet/download/DMP22D4UFO.pdf")</f>
        <v>https://www.diodes.com/datasheet/download/DMP22D4UFO.pdf</v>
      </c>
      <c r="C1011" t="str">
        <f>Hyperlink("https://www.diodes.com/part/view/DMP22D4UFO","DMP22D4UFO")</f>
        <v>DMP22D4UFO</v>
      </c>
      <c r="D1011" t="s">
        <v>636</v>
      </c>
      <c r="E1011" t="s">
        <v>27</v>
      </c>
      <c r="F1011" t="s">
        <v>28</v>
      </c>
      <c r="G1011" t="s">
        <v>75</v>
      </c>
      <c r="H1011" t="s">
        <v>27</v>
      </c>
      <c r="I1011">
        <v>20</v>
      </c>
      <c r="J1011">
        <v>8</v>
      </c>
      <c r="K1011">
        <v>0.53</v>
      </c>
      <c r="M1011">
        <v>0.82</v>
      </c>
      <c r="P1011">
        <v>1900</v>
      </c>
      <c r="Q1011">
        <v>2400</v>
      </c>
      <c r="R1011">
        <v>3400</v>
      </c>
      <c r="S1011">
        <v>0.4</v>
      </c>
      <c r="T1011">
        <v>1</v>
      </c>
      <c r="U1011">
        <v>0.4</v>
      </c>
      <c r="W1011">
        <v>28.7</v>
      </c>
      <c r="X1011">
        <v>15</v>
      </c>
      <c r="Y1011" t="s">
        <v>1076</v>
      </c>
    </row>
    <row r="1012" spans="1:25">
      <c r="A1012" t="s">
        <v>1833</v>
      </c>
      <c r="B1012" s="2" t="str">
        <f>Hyperlink("https://www.diodes.com/datasheet/download/DMP22D5UDA.pdf")</f>
        <v>https://www.diodes.com/datasheet/download/DMP22D5UDA.pdf</v>
      </c>
      <c r="C1012" t="str">
        <f>Hyperlink("https://www.diodes.com/part/view/DMP22D5UDA","DMP22D5UDA")</f>
        <v>DMP22D5UDA</v>
      </c>
      <c r="D1012" t="s">
        <v>1834</v>
      </c>
      <c r="E1012" t="s">
        <v>30</v>
      </c>
      <c r="F1012" t="s">
        <v>28</v>
      </c>
      <c r="G1012" t="s">
        <v>124</v>
      </c>
      <c r="H1012" t="s">
        <v>27</v>
      </c>
      <c r="I1012">
        <v>20</v>
      </c>
      <c r="J1012">
        <v>8</v>
      </c>
      <c r="K1012">
        <v>0.35</v>
      </c>
      <c r="M1012">
        <v>0.35</v>
      </c>
      <c r="P1012">
        <v>1900</v>
      </c>
      <c r="Q1012">
        <v>2400</v>
      </c>
      <c r="R1012">
        <v>3400</v>
      </c>
      <c r="S1012">
        <v>0.4</v>
      </c>
      <c r="T1012">
        <v>1</v>
      </c>
      <c r="U1012">
        <v>0.3</v>
      </c>
      <c r="W1012">
        <v>17</v>
      </c>
      <c r="X1012">
        <v>15</v>
      </c>
      <c r="Y1012" t="s">
        <v>298</v>
      </c>
    </row>
    <row r="1013" spans="1:25">
      <c r="A1013" t="s">
        <v>1835</v>
      </c>
      <c r="B1013" s="2" t="str">
        <f>Hyperlink("https://www.diodes.com/datasheet/download/DMP22D5UDJ.pdf")</f>
        <v>https://www.diodes.com/datasheet/download/DMP22D5UDJ.pdf</v>
      </c>
      <c r="C1013" t="str">
        <f>Hyperlink("https://www.diodes.com/part/view/DMP22D5UDJ","DMP22D5UDJ")</f>
        <v>DMP22D5UDJ</v>
      </c>
      <c r="D1013" t="s">
        <v>127</v>
      </c>
      <c r="E1013" t="s">
        <v>30</v>
      </c>
      <c r="F1013" t="s">
        <v>28</v>
      </c>
      <c r="G1013" t="s">
        <v>124</v>
      </c>
      <c r="H1013" t="s">
        <v>27</v>
      </c>
      <c r="I1013">
        <v>20</v>
      </c>
      <c r="J1013">
        <v>8</v>
      </c>
      <c r="K1013">
        <v>0.36</v>
      </c>
      <c r="M1013">
        <v>0.38</v>
      </c>
      <c r="P1013">
        <v>1900</v>
      </c>
      <c r="Q1013">
        <v>2400</v>
      </c>
      <c r="R1013">
        <v>3400</v>
      </c>
      <c r="S1013">
        <v>0.4</v>
      </c>
      <c r="T1013">
        <v>1</v>
      </c>
      <c r="U1013">
        <v>0.3</v>
      </c>
      <c r="W1013">
        <v>17</v>
      </c>
      <c r="X1013">
        <v>15</v>
      </c>
      <c r="Y1013" t="s">
        <v>358</v>
      </c>
    </row>
    <row r="1014" spans="1:25">
      <c r="A1014" t="s">
        <v>1836</v>
      </c>
      <c r="B1014" s="2" t="str">
        <f>Hyperlink("https://www.diodes.com/datasheet/download/DMP22D5UDR4.pdf")</f>
        <v>https://www.diodes.com/datasheet/download/DMP22D5UDR4.pdf</v>
      </c>
      <c r="C1014" t="str">
        <f>Hyperlink("https://www.diodes.com/part/view/DMP22D5UDR4","DMP22D5UDR4")</f>
        <v>DMP22D5UDR4</v>
      </c>
      <c r="D1014" t="s">
        <v>1837</v>
      </c>
      <c r="E1014" t="s">
        <v>30</v>
      </c>
      <c r="F1014" t="s">
        <v>28</v>
      </c>
      <c r="G1014" t="s">
        <v>75</v>
      </c>
      <c r="H1014" t="s">
        <v>27</v>
      </c>
      <c r="I1014">
        <v>20</v>
      </c>
      <c r="J1014">
        <v>8</v>
      </c>
      <c r="K1014">
        <v>0.36</v>
      </c>
      <c r="M1014">
        <v>0.7</v>
      </c>
      <c r="P1014">
        <v>1900</v>
      </c>
      <c r="Q1014">
        <v>2400</v>
      </c>
      <c r="R1014">
        <v>3400</v>
      </c>
      <c r="S1014">
        <v>0.4</v>
      </c>
      <c r="T1014">
        <v>1</v>
      </c>
      <c r="U1014">
        <v>0.3</v>
      </c>
      <c r="W1014">
        <v>17</v>
      </c>
      <c r="X1014">
        <v>16</v>
      </c>
      <c r="Y1014" t="s">
        <v>372</v>
      </c>
    </row>
    <row r="1015" spans="1:25">
      <c r="A1015" t="s">
        <v>1838</v>
      </c>
      <c r="B1015" s="2" t="str">
        <f>Hyperlink("https://www.diodes.com/datasheet/download/DMP22D5UFA.pdf")</f>
        <v>https://www.diodes.com/datasheet/download/DMP22D5UFA.pdf</v>
      </c>
      <c r="C1015" t="str">
        <f>Hyperlink("https://www.diodes.com/part/view/DMP22D5UFA","DMP22D5UFA")</f>
        <v>DMP22D5UFA</v>
      </c>
      <c r="D1015" t="s">
        <v>1710</v>
      </c>
      <c r="E1015" t="s">
        <v>30</v>
      </c>
      <c r="F1015" t="s">
        <v>28</v>
      </c>
      <c r="G1015" t="s">
        <v>75</v>
      </c>
      <c r="H1015" t="s">
        <v>27</v>
      </c>
      <c r="I1015">
        <v>20</v>
      </c>
      <c r="J1015">
        <v>8</v>
      </c>
      <c r="K1015">
        <v>0.36</v>
      </c>
      <c r="M1015">
        <v>0.37</v>
      </c>
      <c r="P1015">
        <v>1900</v>
      </c>
      <c r="Q1015">
        <v>2400</v>
      </c>
      <c r="R1015">
        <v>3400</v>
      </c>
      <c r="S1015">
        <v>0.4</v>
      </c>
      <c r="T1015">
        <v>1</v>
      </c>
      <c r="U1015">
        <v>0.3</v>
      </c>
      <c r="W1015">
        <v>17</v>
      </c>
      <c r="X1015">
        <v>16</v>
      </c>
      <c r="Y1015" t="s">
        <v>855</v>
      </c>
    </row>
    <row r="1016" spans="1:25">
      <c r="A1016" t="s">
        <v>1839</v>
      </c>
      <c r="B1016" s="2" t="str">
        <f>Hyperlink("https://www.diodes.com/datasheet/download/DMP22D5UFB4.pdf")</f>
        <v>https://www.diodes.com/datasheet/download/DMP22D5UFB4.pdf</v>
      </c>
      <c r="C1016" t="str">
        <f>Hyperlink("https://www.diodes.com/part/view/DMP22D5UFB4","DMP22D5UFB4")</f>
        <v>DMP22D5UFB4</v>
      </c>
      <c r="D1016" t="s">
        <v>636</v>
      </c>
      <c r="E1016" t="s">
        <v>30</v>
      </c>
      <c r="F1016" t="s">
        <v>28</v>
      </c>
      <c r="G1016" t="s">
        <v>75</v>
      </c>
      <c r="H1016" t="s">
        <v>27</v>
      </c>
      <c r="I1016">
        <v>20</v>
      </c>
      <c r="J1016">
        <v>8</v>
      </c>
      <c r="K1016">
        <v>0.4</v>
      </c>
      <c r="M1016">
        <v>1.18</v>
      </c>
      <c r="P1016">
        <v>1900</v>
      </c>
      <c r="Q1016">
        <v>2400</v>
      </c>
      <c r="R1016">
        <v>3400</v>
      </c>
      <c r="S1016">
        <v>0.4</v>
      </c>
      <c r="T1016">
        <v>1</v>
      </c>
      <c r="U1016">
        <v>0.3</v>
      </c>
      <c r="W1016">
        <v>17</v>
      </c>
      <c r="X1016">
        <v>15</v>
      </c>
      <c r="Y1016" t="s">
        <v>901</v>
      </c>
    </row>
    <row r="1017" spans="1:25">
      <c r="A1017" t="s">
        <v>1840</v>
      </c>
      <c r="B1017" s="2" t="str">
        <f>Hyperlink("https://www.diodes.com/datasheet/download/DMP22D5UFB4Q.pdf")</f>
        <v>https://www.diodes.com/datasheet/download/DMP22D5UFB4Q.pdf</v>
      </c>
      <c r="C1017" t="str">
        <f>Hyperlink("https://www.diodes.com/part/view/DMP22D5UFB4Q","DMP22D5UFB4Q")</f>
        <v>DMP22D5UFB4Q</v>
      </c>
      <c r="D1017" t="s">
        <v>1710</v>
      </c>
      <c r="E1017" t="s">
        <v>27</v>
      </c>
      <c r="F1017" t="s">
        <v>37</v>
      </c>
      <c r="G1017" t="s">
        <v>75</v>
      </c>
      <c r="H1017" t="s">
        <v>27</v>
      </c>
      <c r="I1017">
        <v>20</v>
      </c>
      <c r="J1017">
        <v>8</v>
      </c>
      <c r="K1017">
        <v>0.4</v>
      </c>
      <c r="M1017">
        <v>1.18</v>
      </c>
      <c r="P1017">
        <v>1900</v>
      </c>
      <c r="Q1017">
        <v>2400</v>
      </c>
      <c r="R1017">
        <v>3400</v>
      </c>
      <c r="S1017">
        <v>0.4</v>
      </c>
      <c r="T1017">
        <v>1</v>
      </c>
      <c r="U1017">
        <v>0.3</v>
      </c>
      <c r="W1017">
        <v>17</v>
      </c>
      <c r="X1017">
        <v>15</v>
      </c>
      <c r="Y1017" t="s">
        <v>901</v>
      </c>
    </row>
    <row r="1018" spans="1:25">
      <c r="A1018" t="s">
        <v>1841</v>
      </c>
      <c r="B1018" s="2" t="str">
        <f>Hyperlink("https://www.diodes.com/datasheet/download/DMP22D5UFO.pdf")</f>
        <v>https://www.diodes.com/datasheet/download/DMP22D5UFO.pdf</v>
      </c>
      <c r="C1018" t="str">
        <f>Hyperlink("https://www.diodes.com/part/view/DMP22D5UFO","DMP22D5UFO")</f>
        <v>DMP22D5UFO</v>
      </c>
      <c r="D1018" t="s">
        <v>636</v>
      </c>
      <c r="E1018" t="s">
        <v>30</v>
      </c>
      <c r="F1018" t="s">
        <v>28</v>
      </c>
      <c r="G1018" t="s">
        <v>75</v>
      </c>
      <c r="H1018" t="s">
        <v>27</v>
      </c>
      <c r="I1018">
        <v>20</v>
      </c>
      <c r="J1018">
        <v>8</v>
      </c>
      <c r="K1018">
        <v>0.51</v>
      </c>
      <c r="M1018">
        <v>0.34</v>
      </c>
      <c r="P1018">
        <v>1900</v>
      </c>
      <c r="Q1018">
        <v>2400</v>
      </c>
      <c r="R1018">
        <v>3400</v>
      </c>
      <c r="S1018">
        <v>0.4</v>
      </c>
      <c r="T1018">
        <v>1</v>
      </c>
      <c r="U1018">
        <v>0.3</v>
      </c>
      <c r="W1018">
        <v>17</v>
      </c>
      <c r="X1018">
        <v>16</v>
      </c>
      <c r="Y1018" t="s">
        <v>1076</v>
      </c>
    </row>
    <row r="1019" spans="1:25">
      <c r="A1019" t="s">
        <v>1842</v>
      </c>
      <c r="B1019" s="2" t="str">
        <f>Hyperlink("https://www.diodes.com/datasheet/download/DMP22D5UFZ.pdf")</f>
        <v>https://www.diodes.com/datasheet/download/DMP22D5UFZ.pdf</v>
      </c>
      <c r="C1019" t="str">
        <f>Hyperlink("https://www.diodes.com/part/view/DMP22D5UFZ","DMP22D5UFZ")</f>
        <v>DMP22D5UFZ</v>
      </c>
      <c r="D1019" t="s">
        <v>1645</v>
      </c>
      <c r="E1019" t="s">
        <v>30</v>
      </c>
      <c r="F1019" t="s">
        <v>28</v>
      </c>
      <c r="G1019" t="s">
        <v>75</v>
      </c>
      <c r="H1019" t="s">
        <v>27</v>
      </c>
      <c r="I1019">
        <v>20</v>
      </c>
      <c r="J1019">
        <v>8</v>
      </c>
      <c r="K1019">
        <v>0.33</v>
      </c>
      <c r="M1019">
        <v>0.95</v>
      </c>
      <c r="P1019">
        <v>1900</v>
      </c>
      <c r="Q1019">
        <v>2400</v>
      </c>
      <c r="R1019">
        <v>3400</v>
      </c>
      <c r="S1019">
        <v>0.4</v>
      </c>
      <c r="T1019">
        <v>1</v>
      </c>
      <c r="U1019">
        <v>0.3</v>
      </c>
      <c r="W1019">
        <v>17</v>
      </c>
      <c r="X1019">
        <v>16</v>
      </c>
      <c r="Y1019" t="s">
        <v>1078</v>
      </c>
    </row>
    <row r="1020" spans="1:25">
      <c r="A1020" t="s">
        <v>1843</v>
      </c>
      <c r="B1020" s="2" t="str">
        <f>Hyperlink("https://www.diodes.com/datasheet/download/DMP22D6UFB4.pdf")</f>
        <v>https://www.diodes.com/datasheet/download/DMP22D6UFB4.pdf</v>
      </c>
      <c r="C1020" t="str">
        <f>Hyperlink("https://www.diodes.com/part/view/DMP22D6UFB4","DMP22D6UFB4")</f>
        <v>DMP22D6UFB4</v>
      </c>
      <c r="D1020" t="s">
        <v>1710</v>
      </c>
      <c r="E1020" t="s">
        <v>30</v>
      </c>
      <c r="F1020" t="s">
        <v>28</v>
      </c>
      <c r="G1020" t="s">
        <v>75</v>
      </c>
      <c r="H1020" t="s">
        <v>27</v>
      </c>
      <c r="I1020">
        <v>20</v>
      </c>
      <c r="J1020">
        <v>8</v>
      </c>
      <c r="K1020">
        <v>1</v>
      </c>
      <c r="M1020">
        <v>1</v>
      </c>
      <c r="P1020">
        <v>1900</v>
      </c>
      <c r="Q1020">
        <v>2400</v>
      </c>
      <c r="R1020">
        <v>3400</v>
      </c>
      <c r="S1020">
        <v>0.4</v>
      </c>
      <c r="T1020">
        <v>1</v>
      </c>
      <c r="U1020">
        <v>0.5</v>
      </c>
      <c r="W1020">
        <v>22.2</v>
      </c>
      <c r="X1020">
        <v>15</v>
      </c>
      <c r="Y1020" t="s">
        <v>901</v>
      </c>
    </row>
    <row r="1021" spans="1:25">
      <c r="A1021" t="s">
        <v>1844</v>
      </c>
      <c r="B1021" s="2" t="str">
        <f>Hyperlink("https://www.diodes.com/datasheet/download/DMP22D6UFB4Q.pdf")</f>
        <v>https://www.diodes.com/datasheet/download/DMP22D6UFB4Q.pdf</v>
      </c>
      <c r="C1021" t="str">
        <f>Hyperlink("https://www.diodes.com/part/view/DMP22D6UFB4Q","DMP22D6UFB4Q")</f>
        <v>DMP22D6UFB4Q</v>
      </c>
      <c r="D1021" t="s">
        <v>1710</v>
      </c>
      <c r="E1021" t="s">
        <v>27</v>
      </c>
      <c r="F1021" t="s">
        <v>37</v>
      </c>
      <c r="G1021" t="s">
        <v>75</v>
      </c>
      <c r="H1021" t="s">
        <v>27</v>
      </c>
      <c r="I1021">
        <v>20</v>
      </c>
      <c r="J1021">
        <v>8</v>
      </c>
      <c r="K1021">
        <v>1</v>
      </c>
      <c r="M1021">
        <v>1</v>
      </c>
      <c r="P1021">
        <v>1900</v>
      </c>
      <c r="Q1021">
        <v>2400</v>
      </c>
      <c r="R1021">
        <v>3400</v>
      </c>
      <c r="S1021">
        <v>0.4</v>
      </c>
      <c r="T1021">
        <v>1</v>
      </c>
      <c r="U1021">
        <v>0.5</v>
      </c>
      <c r="W1021">
        <v>22.2</v>
      </c>
      <c r="X1021">
        <v>15</v>
      </c>
      <c r="Y1021" t="s">
        <v>901</v>
      </c>
    </row>
    <row r="1022" spans="1:25">
      <c r="A1022" t="s">
        <v>1845</v>
      </c>
      <c r="B1022" s="2" t="str">
        <f>Hyperlink("https://www.diodes.com/datasheet/download/DMP22D6UT.pdf")</f>
        <v>https://www.diodes.com/datasheet/download/DMP22D6UT.pdf</v>
      </c>
      <c r="C1022" t="str">
        <f>Hyperlink("https://www.diodes.com/part/view/DMP22D6UT","DMP22D6UT")</f>
        <v>DMP22D6UT</v>
      </c>
      <c r="D1022" t="s">
        <v>74</v>
      </c>
      <c r="E1022" t="s">
        <v>27</v>
      </c>
      <c r="F1022" t="s">
        <v>28</v>
      </c>
      <c r="G1022" t="s">
        <v>75</v>
      </c>
      <c r="H1022" t="s">
        <v>27</v>
      </c>
      <c r="I1022">
        <v>20</v>
      </c>
      <c r="J1022">
        <v>8</v>
      </c>
      <c r="K1022">
        <v>0.43</v>
      </c>
      <c r="M1022">
        <v>0.15</v>
      </c>
      <c r="P1022">
        <v>1100</v>
      </c>
      <c r="Q1022">
        <v>1600</v>
      </c>
      <c r="R1022">
        <v>2600</v>
      </c>
      <c r="S1022">
        <v>0.5</v>
      </c>
      <c r="T1022">
        <v>1</v>
      </c>
      <c r="W1022">
        <v>95</v>
      </c>
      <c r="X1022">
        <v>16</v>
      </c>
      <c r="Y1022" t="s">
        <v>56</v>
      </c>
    </row>
    <row r="1023" spans="1:25">
      <c r="A1023" t="s">
        <v>1846</v>
      </c>
      <c r="B1023" s="2" t="str">
        <f>Hyperlink("https://www.diodes.com/datasheet/download/DMP22M1UPSW.pdf")</f>
        <v>https://www.diodes.com/datasheet/download/DMP22M1UPSW.pdf</v>
      </c>
      <c r="C1023" t="str">
        <f>Hyperlink("https://www.diodes.com/part/view/DMP22M1UPSW","DMP22M1UPSW")</f>
        <v>DMP22M1UPSW</v>
      </c>
      <c r="D1023" t="s">
        <v>1710</v>
      </c>
      <c r="E1023" t="s">
        <v>30</v>
      </c>
      <c r="F1023" t="s">
        <v>28</v>
      </c>
      <c r="G1023" t="s">
        <v>75</v>
      </c>
      <c r="H1023" t="s">
        <v>30</v>
      </c>
      <c r="I1023">
        <v>20</v>
      </c>
      <c r="J1023">
        <v>12</v>
      </c>
      <c r="L1023">
        <v>60</v>
      </c>
      <c r="M1023">
        <v>3.2</v>
      </c>
      <c r="O1023">
        <v>1.9</v>
      </c>
      <c r="P1023">
        <v>2.4</v>
      </c>
      <c r="Q1023">
        <v>4</v>
      </c>
      <c r="S1023">
        <v>0.5</v>
      </c>
      <c r="T1023">
        <v>1.4</v>
      </c>
      <c r="U1023">
        <v>196</v>
      </c>
      <c r="V1023">
        <v>425</v>
      </c>
      <c r="W1023">
        <v>15853</v>
      </c>
      <c r="X1023">
        <v>10</v>
      </c>
      <c r="Y1023" t="s">
        <v>1847</v>
      </c>
    </row>
    <row r="1024" spans="1:25">
      <c r="A1024" t="s">
        <v>1848</v>
      </c>
      <c r="B1024" s="2" t="str">
        <f>Hyperlink("https://www.diodes.com/datasheet/download/DMP22M2UPS.pdf")</f>
        <v>https://www.diodes.com/datasheet/download/DMP22M2UPS.pdf</v>
      </c>
      <c r="C1024" t="str">
        <f>Hyperlink("https://www.diodes.com/part/view/DMP22M2UPS","DMP22M2UPS")</f>
        <v>DMP22M2UPS</v>
      </c>
      <c r="D1024" t="s">
        <v>636</v>
      </c>
      <c r="E1024" t="s">
        <v>30</v>
      </c>
      <c r="F1024" t="s">
        <v>28</v>
      </c>
      <c r="G1024" t="s">
        <v>75</v>
      </c>
      <c r="H1024" t="s">
        <v>30</v>
      </c>
      <c r="I1024">
        <v>20</v>
      </c>
      <c r="J1024">
        <v>12</v>
      </c>
      <c r="L1024">
        <v>42</v>
      </c>
      <c r="M1024">
        <v>2.3</v>
      </c>
      <c r="O1024">
        <v>2.5</v>
      </c>
      <c r="P1024">
        <v>3.5</v>
      </c>
      <c r="Q1024">
        <v>5</v>
      </c>
      <c r="S1024">
        <v>0.5</v>
      </c>
      <c r="T1024">
        <v>1.4</v>
      </c>
      <c r="U1024">
        <v>228</v>
      </c>
      <c r="V1024">
        <v>476</v>
      </c>
      <c r="W1024">
        <v>12826</v>
      </c>
      <c r="X1024">
        <v>10</v>
      </c>
      <c r="Y1024" t="s">
        <v>907</v>
      </c>
    </row>
    <row r="1025" spans="1:25">
      <c r="A1025" t="s">
        <v>1849</v>
      </c>
      <c r="B1025" s="2" t="str">
        <f>Hyperlink("https://www.diodes.com/datasheet/download/DMP2305U.pdf")</f>
        <v>https://www.diodes.com/datasheet/download/DMP2305U.pdf</v>
      </c>
      <c r="C1025" t="str">
        <f>Hyperlink("https://www.diodes.com/part/view/DMP2305U","DMP2305U")</f>
        <v>DMP2305U</v>
      </c>
      <c r="D1025" t="s">
        <v>74</v>
      </c>
      <c r="E1025" t="s">
        <v>27</v>
      </c>
      <c r="F1025" t="s">
        <v>28</v>
      </c>
      <c r="G1025" t="s">
        <v>75</v>
      </c>
      <c r="H1025" t="s">
        <v>30</v>
      </c>
      <c r="I1025">
        <v>20</v>
      </c>
      <c r="J1025">
        <v>8</v>
      </c>
      <c r="K1025">
        <v>4.2</v>
      </c>
      <c r="M1025">
        <v>1.4</v>
      </c>
      <c r="P1025">
        <v>60</v>
      </c>
      <c r="Q1025">
        <v>90</v>
      </c>
      <c r="R1025">
        <v>113</v>
      </c>
      <c r="S1025">
        <v>0.5</v>
      </c>
      <c r="T1025">
        <v>0.9</v>
      </c>
      <c r="U1025">
        <v>7.6</v>
      </c>
      <c r="W1025">
        <v>727</v>
      </c>
      <c r="X1025">
        <v>20</v>
      </c>
      <c r="Y1025" t="s">
        <v>35</v>
      </c>
    </row>
    <row r="1026" spans="1:25">
      <c r="A1026" t="s">
        <v>1850</v>
      </c>
      <c r="B1026" s="2" t="str">
        <f>Hyperlink("https://www.diodes.com/datasheet/download/DMP2305UVT.pdf")</f>
        <v>https://www.diodes.com/datasheet/download/DMP2305UVT.pdf</v>
      </c>
      <c r="C1026" t="str">
        <f>Hyperlink("https://www.diodes.com/part/view/DMP2305UVT","DMP2305UVT")</f>
        <v>DMP2305UVT</v>
      </c>
      <c r="D1026" t="s">
        <v>74</v>
      </c>
      <c r="E1026" t="s">
        <v>27</v>
      </c>
      <c r="F1026" t="s">
        <v>28</v>
      </c>
      <c r="G1026" t="s">
        <v>75</v>
      </c>
      <c r="H1026" t="s">
        <v>30</v>
      </c>
      <c r="I1026">
        <v>20</v>
      </c>
      <c r="J1026">
        <v>8</v>
      </c>
      <c r="K1026">
        <v>4.23</v>
      </c>
      <c r="M1026">
        <v>1.64</v>
      </c>
      <c r="P1026">
        <v>60</v>
      </c>
      <c r="Q1026">
        <v>90</v>
      </c>
      <c r="R1026">
        <v>113</v>
      </c>
      <c r="S1026">
        <v>0.5</v>
      </c>
      <c r="T1026">
        <v>0.9</v>
      </c>
      <c r="U1026">
        <v>7.6</v>
      </c>
      <c r="W1026">
        <v>727</v>
      </c>
      <c r="X1026">
        <v>20</v>
      </c>
      <c r="Y1026" t="s">
        <v>183</v>
      </c>
    </row>
    <row r="1027" spans="1:25">
      <c r="A1027" t="s">
        <v>1851</v>
      </c>
      <c r="B1027" s="2" t="str">
        <f>Hyperlink("https://www.diodes.com/datasheet/download/DMP2541UCP9.pdf")</f>
        <v>https://www.diodes.com/datasheet/download/DMP2541UCP9.pdf</v>
      </c>
      <c r="C1027" t="str">
        <f>Hyperlink("https://www.diodes.com/part/view/DMP2541UCP9","DMP2541UCP9")</f>
        <v>DMP2541UCP9</v>
      </c>
      <c r="D1027" t="s">
        <v>1852</v>
      </c>
      <c r="E1027" t="s">
        <v>30</v>
      </c>
      <c r="F1027" t="s">
        <v>28</v>
      </c>
      <c r="G1027" t="s">
        <v>75</v>
      </c>
      <c r="H1027" t="s">
        <v>27</v>
      </c>
      <c r="I1027">
        <v>25</v>
      </c>
      <c r="J1027">
        <v>6</v>
      </c>
      <c r="K1027">
        <v>5.2</v>
      </c>
      <c r="M1027">
        <v>1.67</v>
      </c>
      <c r="P1027">
        <v>40</v>
      </c>
      <c r="Q1027">
        <v>50</v>
      </c>
      <c r="R1027">
        <v>60</v>
      </c>
      <c r="S1027">
        <v>0.4</v>
      </c>
      <c r="T1027">
        <v>1.1</v>
      </c>
      <c r="U1027">
        <v>4.7</v>
      </c>
      <c r="W1027">
        <v>566</v>
      </c>
      <c r="X1027">
        <v>10</v>
      </c>
      <c r="Y1027" t="s">
        <v>1790</v>
      </c>
    </row>
    <row r="1028" spans="1:25">
      <c r="A1028" t="s">
        <v>1853</v>
      </c>
      <c r="B1028" s="2" t="str">
        <f>Hyperlink("https://www.diodes.com/datasheet/download/DMP25H18DLFDE.pdf")</f>
        <v>https://www.diodes.com/datasheet/download/DMP25H18DLFDE.pdf</v>
      </c>
      <c r="C1028" t="str">
        <f>Hyperlink("https://www.diodes.com/part/view/DMP25H18DLFDE","DMP25H18DLFDE")</f>
        <v>DMP25H18DLFDE</v>
      </c>
      <c r="D1028" t="s">
        <v>74</v>
      </c>
      <c r="E1028" t="s">
        <v>27</v>
      </c>
      <c r="F1028" t="s">
        <v>28</v>
      </c>
      <c r="G1028" t="s">
        <v>75</v>
      </c>
      <c r="H1028" t="s">
        <v>30</v>
      </c>
      <c r="I1028">
        <v>250</v>
      </c>
      <c r="J1028">
        <v>40</v>
      </c>
      <c r="K1028">
        <v>0.26</v>
      </c>
      <c r="M1028">
        <v>1.4</v>
      </c>
      <c r="O1028">
        <v>14000</v>
      </c>
      <c r="P1028" t="s">
        <v>1854</v>
      </c>
      <c r="T1028">
        <v>2.5</v>
      </c>
      <c r="V1028">
        <v>2.8</v>
      </c>
      <c r="W1028">
        <v>81</v>
      </c>
      <c r="X1028">
        <v>25</v>
      </c>
      <c r="Y1028" t="s">
        <v>778</v>
      </c>
    </row>
    <row r="1029" spans="1:25">
      <c r="A1029" t="s">
        <v>1855</v>
      </c>
      <c r="B1029" s="2" t="str">
        <f>Hyperlink("https://www.diodes.com/datasheet/download/DMP26M1UFG.pdf")</f>
        <v>https://www.diodes.com/datasheet/download/DMP26M1UFG.pdf</v>
      </c>
      <c r="C1029" t="str">
        <f>Hyperlink("https://www.diodes.com/part/view/DMP26M1UFG","DMP26M1UFG")</f>
        <v>DMP26M1UFG</v>
      </c>
      <c r="D1029" t="s">
        <v>1856</v>
      </c>
      <c r="E1029" t="s">
        <v>30</v>
      </c>
      <c r="F1029" t="s">
        <v>28</v>
      </c>
      <c r="G1029" t="s">
        <v>75</v>
      </c>
      <c r="H1029" t="s">
        <v>30</v>
      </c>
      <c r="I1029">
        <v>20</v>
      </c>
      <c r="J1029">
        <v>10</v>
      </c>
      <c r="L1029">
        <v>71</v>
      </c>
      <c r="M1029">
        <v>3</v>
      </c>
      <c r="P1029">
        <v>5.5</v>
      </c>
      <c r="Q1029">
        <v>7.5</v>
      </c>
      <c r="R1029">
        <v>12</v>
      </c>
      <c r="S1029">
        <v>0.4</v>
      </c>
      <c r="T1029">
        <v>1</v>
      </c>
      <c r="U1029">
        <v>75</v>
      </c>
      <c r="V1029">
        <v>164</v>
      </c>
      <c r="W1029">
        <v>5392</v>
      </c>
      <c r="X1029">
        <v>10</v>
      </c>
      <c r="Y1029" t="s">
        <v>718</v>
      </c>
    </row>
    <row r="1030" spans="1:25">
      <c r="A1030" t="s">
        <v>1857</v>
      </c>
      <c r="B1030" s="2" t="str">
        <f>Hyperlink("https://www.diodes.com/datasheet/download/DMP26M1UPS.pdf")</f>
        <v>https://www.diodes.com/datasheet/download/DMP26M1UPS.pdf</v>
      </c>
      <c r="C1030" t="str">
        <f>Hyperlink("https://www.diodes.com/part/view/DMP26M1UPS","DMP26M1UPS")</f>
        <v>DMP26M1UPS</v>
      </c>
      <c r="D1030" t="s">
        <v>636</v>
      </c>
      <c r="E1030" t="s">
        <v>30</v>
      </c>
      <c r="F1030" t="s">
        <v>28</v>
      </c>
      <c r="G1030" t="s">
        <v>75</v>
      </c>
      <c r="H1030" t="s">
        <v>30</v>
      </c>
      <c r="I1030">
        <v>20</v>
      </c>
      <c r="J1030">
        <v>10</v>
      </c>
      <c r="L1030">
        <v>90</v>
      </c>
      <c r="M1030">
        <v>2.76</v>
      </c>
      <c r="P1030">
        <v>6</v>
      </c>
      <c r="Q1030">
        <v>8</v>
      </c>
      <c r="S1030">
        <v>0.4</v>
      </c>
      <c r="T1030">
        <v>1</v>
      </c>
      <c r="U1030">
        <v>75</v>
      </c>
      <c r="V1030">
        <v>164</v>
      </c>
      <c r="W1030">
        <v>5392</v>
      </c>
      <c r="X1030">
        <v>10</v>
      </c>
      <c r="Y1030" t="s">
        <v>907</v>
      </c>
    </row>
    <row r="1031" spans="1:25">
      <c r="A1031" t="s">
        <v>1858</v>
      </c>
      <c r="B1031" s="2" t="str">
        <f>Hyperlink("https://www.diodes.com/datasheet/download/DMP26M1UPSW.pdf")</f>
        <v>https://www.diodes.com/datasheet/download/DMP26M1UPSW.pdf</v>
      </c>
      <c r="C1031" t="str">
        <f>Hyperlink("https://www.diodes.com/part/view/DMP26M1UPSW","DMP26M1UPSW")</f>
        <v>DMP26M1UPSW</v>
      </c>
      <c r="D1031" t="s">
        <v>636</v>
      </c>
      <c r="E1031" t="s">
        <v>30</v>
      </c>
      <c r="F1031" t="s">
        <v>28</v>
      </c>
      <c r="G1031" t="s">
        <v>75</v>
      </c>
      <c r="H1031" t="s">
        <v>30</v>
      </c>
      <c r="I1031">
        <v>20</v>
      </c>
      <c r="J1031">
        <v>10</v>
      </c>
      <c r="L1031">
        <v>83</v>
      </c>
      <c r="M1031">
        <v>2.6</v>
      </c>
      <c r="P1031">
        <v>6</v>
      </c>
      <c r="Q1031">
        <v>8</v>
      </c>
      <c r="S1031">
        <v>0.4</v>
      </c>
      <c r="T1031">
        <v>1</v>
      </c>
      <c r="U1031">
        <v>75</v>
      </c>
      <c r="V1031">
        <v>164</v>
      </c>
      <c r="W1031">
        <v>5392</v>
      </c>
      <c r="X1031">
        <v>10</v>
      </c>
      <c r="Y1031" t="s">
        <v>1546</v>
      </c>
    </row>
    <row r="1032" spans="1:25">
      <c r="A1032" t="s">
        <v>1859</v>
      </c>
      <c r="B1032" s="2" t="str">
        <f>Hyperlink("https://www.diodes.com/datasheet/download/DMP26M1UPSWQ.pdf")</f>
        <v>https://www.diodes.com/datasheet/download/DMP26M1UPSWQ.pdf</v>
      </c>
      <c r="C1032" t="str">
        <f>Hyperlink("https://www.diodes.com/part/view/DMP26M1UPSWQ","DMP26M1UPSWQ")</f>
        <v>DMP26M1UPSWQ</v>
      </c>
      <c r="D1032" t="s">
        <v>1710</v>
      </c>
      <c r="E1032" t="s">
        <v>27</v>
      </c>
      <c r="F1032" t="s">
        <v>37</v>
      </c>
      <c r="G1032" t="s">
        <v>75</v>
      </c>
      <c r="H1032" t="s">
        <v>30</v>
      </c>
      <c r="I1032">
        <v>20</v>
      </c>
      <c r="J1032">
        <v>10</v>
      </c>
      <c r="L1032">
        <v>83</v>
      </c>
      <c r="M1032">
        <v>2.6</v>
      </c>
      <c r="P1032">
        <v>6</v>
      </c>
      <c r="Q1032">
        <v>8</v>
      </c>
      <c r="S1032">
        <v>0.4</v>
      </c>
      <c r="T1032">
        <v>1</v>
      </c>
      <c r="U1032">
        <v>75</v>
      </c>
      <c r="V1032">
        <v>164</v>
      </c>
      <c r="W1032">
        <v>5392</v>
      </c>
      <c r="X1032">
        <v>10</v>
      </c>
      <c r="Y1032" t="s">
        <v>1546</v>
      </c>
    </row>
    <row r="1033" spans="1:25">
      <c r="A1033" t="s">
        <v>1860</v>
      </c>
      <c r="B1033" s="2" t="str">
        <f>Hyperlink("https://www.diodes.com/datasheet/download/DMP26M7UFG.pdf")</f>
        <v>https://www.diodes.com/datasheet/download/DMP26M7UFG.pdf</v>
      </c>
      <c r="C1033" t="str">
        <f>Hyperlink("https://www.diodes.com/part/view/DMP26M7UFG","DMP26M7UFG")</f>
        <v>DMP26M7UFG</v>
      </c>
      <c r="D1033" t="s">
        <v>636</v>
      </c>
      <c r="E1033" t="s">
        <v>30</v>
      </c>
      <c r="F1033" t="s">
        <v>28</v>
      </c>
      <c r="G1033" t="s">
        <v>75</v>
      </c>
      <c r="H1033" t="s">
        <v>30</v>
      </c>
      <c r="I1033">
        <v>20</v>
      </c>
      <c r="J1033">
        <v>10</v>
      </c>
      <c r="K1033">
        <v>18</v>
      </c>
      <c r="M1033">
        <v>2.3</v>
      </c>
      <c r="P1033">
        <v>6.7</v>
      </c>
      <c r="Q1033">
        <v>9</v>
      </c>
      <c r="S1033">
        <v>0.4</v>
      </c>
      <c r="T1033">
        <v>1</v>
      </c>
      <c r="U1033">
        <v>75</v>
      </c>
      <c r="V1033">
        <v>156</v>
      </c>
      <c r="W1033">
        <v>5940</v>
      </c>
      <c r="X1033">
        <v>10</v>
      </c>
      <c r="Y1033" t="s">
        <v>718</v>
      </c>
    </row>
    <row r="1034" spans="1:25">
      <c r="A1034" t="s">
        <v>1861</v>
      </c>
      <c r="B1034" s="2" t="str">
        <f>Hyperlink("https://www.diodes.com/datasheet/download/DMP27M1UPSW.pdf")</f>
        <v>https://www.diodes.com/datasheet/download/DMP27M1UPSW.pdf</v>
      </c>
      <c r="C1034" t="str">
        <f>Hyperlink("https://www.diodes.com/part/view/DMP27M1UPSW","DMP27M1UPSW")</f>
        <v>DMP27M1UPSW</v>
      </c>
      <c r="D1034" t="s">
        <v>1862</v>
      </c>
      <c r="E1034" t="s">
        <v>30</v>
      </c>
      <c r="F1034" t="s">
        <v>28</v>
      </c>
      <c r="G1034" t="s">
        <v>75</v>
      </c>
      <c r="H1034" t="s">
        <v>30</v>
      </c>
      <c r="I1034">
        <v>20</v>
      </c>
      <c r="J1034">
        <v>12</v>
      </c>
      <c r="L1034">
        <v>84</v>
      </c>
      <c r="M1034">
        <v>1.95</v>
      </c>
      <c r="N1034">
        <v>3.57</v>
      </c>
      <c r="O1034">
        <v>5.5</v>
      </c>
      <c r="P1034">
        <v>7</v>
      </c>
      <c r="Q1034">
        <v>9</v>
      </c>
      <c r="S1034">
        <v>0.4</v>
      </c>
      <c r="T1034">
        <v>1.3</v>
      </c>
      <c r="U1034">
        <v>55</v>
      </c>
      <c r="V1034">
        <v>123</v>
      </c>
      <c r="W1034">
        <v>4777</v>
      </c>
      <c r="X1034">
        <v>10</v>
      </c>
      <c r="Y1034" t="s">
        <v>1546</v>
      </c>
    </row>
    <row r="1035" spans="1:25">
      <c r="A1035" t="s">
        <v>1863</v>
      </c>
      <c r="B1035" s="2" t="str">
        <f>Hyperlink("https://www.diodes.com/datasheet/download/DMP27M1UPSWQ.pdf")</f>
        <v>https://www.diodes.com/datasheet/download/DMP27M1UPSWQ.pdf</v>
      </c>
      <c r="C1035" t="str">
        <f>Hyperlink("https://www.diodes.com/part/view/DMP27M1UPSWQ","DMP27M1UPSWQ")</f>
        <v>DMP27M1UPSWQ</v>
      </c>
      <c r="D1035" t="s">
        <v>1710</v>
      </c>
      <c r="E1035" t="s">
        <v>27</v>
      </c>
      <c r="F1035" t="s">
        <v>37</v>
      </c>
      <c r="G1035" t="s">
        <v>75</v>
      </c>
      <c r="H1035" t="s">
        <v>30</v>
      </c>
      <c r="I1035">
        <v>20</v>
      </c>
      <c r="J1035">
        <v>12</v>
      </c>
      <c r="L1035">
        <v>84</v>
      </c>
      <c r="M1035">
        <v>1.95</v>
      </c>
      <c r="N1035">
        <v>3.57</v>
      </c>
      <c r="O1035">
        <v>5.5</v>
      </c>
      <c r="P1035">
        <v>7</v>
      </c>
      <c r="Q1035">
        <v>9</v>
      </c>
      <c r="S1035">
        <v>0.4</v>
      </c>
      <c r="T1035">
        <v>1.3</v>
      </c>
      <c r="U1035">
        <v>55</v>
      </c>
      <c r="V1035">
        <v>123</v>
      </c>
      <c r="W1035">
        <v>4777</v>
      </c>
      <c r="X1035">
        <v>10</v>
      </c>
      <c r="Y1035" t="s">
        <v>1546</v>
      </c>
    </row>
    <row r="1036" spans="1:25">
      <c r="A1036" t="s">
        <v>1864</v>
      </c>
      <c r="B1036" s="2" t="str">
        <f>Hyperlink("https://www.diodes.com/datasheet/download/DMP2900UDW.pdf")</f>
        <v>https://www.diodes.com/datasheet/download/DMP2900UDW.pdf</v>
      </c>
      <c r="C1036" t="str">
        <f>Hyperlink("https://www.diodes.com/part/view/DMP2900UDW","DMP2900UDW")</f>
        <v>DMP2900UDW</v>
      </c>
      <c r="D1036" t="s">
        <v>127</v>
      </c>
      <c r="E1036" t="s">
        <v>30</v>
      </c>
      <c r="F1036" t="s">
        <v>28</v>
      </c>
      <c r="G1036" t="s">
        <v>124</v>
      </c>
      <c r="H1036" t="s">
        <v>27</v>
      </c>
      <c r="I1036">
        <v>20</v>
      </c>
      <c r="J1036">
        <v>6</v>
      </c>
      <c r="K1036">
        <v>0.63</v>
      </c>
      <c r="M1036">
        <v>0.46</v>
      </c>
      <c r="P1036">
        <v>750</v>
      </c>
      <c r="Q1036">
        <v>1050</v>
      </c>
      <c r="R1036">
        <v>1500</v>
      </c>
      <c r="S1036">
        <v>0.5</v>
      </c>
      <c r="T1036">
        <v>1</v>
      </c>
      <c r="U1036">
        <v>0.7</v>
      </c>
      <c r="W1036">
        <v>49</v>
      </c>
      <c r="X1036">
        <v>16</v>
      </c>
      <c r="Y1036" t="s">
        <v>42</v>
      </c>
    </row>
    <row r="1037" spans="1:25">
      <c r="A1037" t="s">
        <v>1865</v>
      </c>
      <c r="B1037" s="2" t="str">
        <f>Hyperlink("https://www.diodes.com/datasheet/download/DMP2900UDWQ.pdf")</f>
        <v>https://www.diodes.com/datasheet/download/DMP2900UDWQ.pdf</v>
      </c>
      <c r="C1037" t="str">
        <f>Hyperlink("https://www.diodes.com/part/view/DMP2900UDWQ","DMP2900UDWQ")</f>
        <v>DMP2900UDWQ</v>
      </c>
      <c r="D1037" t="s">
        <v>1837</v>
      </c>
      <c r="E1037" t="s">
        <v>27</v>
      </c>
      <c r="F1037" t="s">
        <v>37</v>
      </c>
      <c r="G1037" t="s">
        <v>124</v>
      </c>
      <c r="H1037" t="s">
        <v>27</v>
      </c>
      <c r="I1037">
        <v>20</v>
      </c>
      <c r="J1037">
        <v>6</v>
      </c>
      <c r="K1037">
        <v>0.63</v>
      </c>
      <c r="M1037">
        <v>0.46</v>
      </c>
      <c r="P1037">
        <v>750</v>
      </c>
      <c r="Q1037">
        <v>1050</v>
      </c>
      <c r="R1037">
        <v>1500</v>
      </c>
      <c r="S1037">
        <v>0.5</v>
      </c>
      <c r="T1037">
        <v>1</v>
      </c>
      <c r="U1037">
        <v>0.7</v>
      </c>
      <c r="W1037">
        <v>49</v>
      </c>
      <c r="X1037">
        <v>16</v>
      </c>
      <c r="Y1037" t="s">
        <v>42</v>
      </c>
    </row>
    <row r="1038" spans="1:25">
      <c r="A1038" t="s">
        <v>1866</v>
      </c>
      <c r="B1038" s="2" t="str">
        <f>Hyperlink("https://www.diodes.com/datasheet/download/DMP2900UFB.pdf")</f>
        <v>https://www.diodes.com/datasheet/download/DMP2900UFB.pdf</v>
      </c>
      <c r="C1038" t="str">
        <f>Hyperlink("https://www.diodes.com/part/view/DMP2900UFB","DMP2900UFB")</f>
        <v>DMP2900UFB</v>
      </c>
      <c r="D1038" t="s">
        <v>74</v>
      </c>
      <c r="E1038" t="s">
        <v>30</v>
      </c>
      <c r="F1038" t="s">
        <v>28</v>
      </c>
      <c r="G1038" t="s">
        <v>75</v>
      </c>
      <c r="H1038" t="s">
        <v>27</v>
      </c>
      <c r="I1038">
        <v>20</v>
      </c>
      <c r="J1038">
        <v>6</v>
      </c>
      <c r="K1038">
        <v>0.99</v>
      </c>
      <c r="M1038">
        <v>1.1</v>
      </c>
      <c r="P1038">
        <v>750</v>
      </c>
      <c r="Q1038">
        <v>1050</v>
      </c>
      <c r="R1038">
        <v>1500</v>
      </c>
      <c r="S1038">
        <v>0.5</v>
      </c>
      <c r="T1038">
        <v>1</v>
      </c>
      <c r="U1038">
        <v>0.7</v>
      </c>
      <c r="W1038">
        <v>49</v>
      </c>
      <c r="X1038">
        <v>16</v>
      </c>
      <c r="Y1038" t="s">
        <v>846</v>
      </c>
    </row>
    <row r="1039" spans="1:25">
      <c r="A1039" t="s">
        <v>1867</v>
      </c>
      <c r="B1039" s="2" t="str">
        <f>Hyperlink("https://www.diodes.com/datasheet/download/DMP2900UFBQ.pdf")</f>
        <v>https://www.diodes.com/datasheet/download/DMP2900UFBQ.pdf</v>
      </c>
      <c r="C1039" t="str">
        <f>Hyperlink("https://www.diodes.com/part/view/DMP2900UFBQ","DMP2900UFBQ")</f>
        <v>DMP2900UFBQ</v>
      </c>
      <c r="D1039" t="s">
        <v>74</v>
      </c>
      <c r="E1039" t="s">
        <v>27</v>
      </c>
      <c r="F1039" t="s">
        <v>37</v>
      </c>
      <c r="G1039" t="s">
        <v>75</v>
      </c>
      <c r="H1039" t="s">
        <v>27</v>
      </c>
      <c r="I1039">
        <v>20</v>
      </c>
      <c r="J1039">
        <v>6</v>
      </c>
      <c r="K1039">
        <v>0.99</v>
      </c>
      <c r="M1039">
        <v>1.1</v>
      </c>
      <c r="P1039">
        <v>750</v>
      </c>
      <c r="Q1039">
        <v>1050</v>
      </c>
      <c r="R1039">
        <v>1500</v>
      </c>
      <c r="S1039">
        <v>0.5</v>
      </c>
      <c r="T1039">
        <v>1</v>
      </c>
      <c r="U1039">
        <v>0.7</v>
      </c>
      <c r="W1039">
        <v>49</v>
      </c>
      <c r="X1039">
        <v>16</v>
      </c>
      <c r="Y1039" t="s">
        <v>846</v>
      </c>
    </row>
    <row r="1040" spans="1:25">
      <c r="A1040" t="s">
        <v>1868</v>
      </c>
      <c r="B1040" s="2" t="str">
        <f>Hyperlink("https://www.diodes.com/datasheet/download/DMP2900UT.pdf")</f>
        <v>https://www.diodes.com/datasheet/download/DMP2900UT.pdf</v>
      </c>
      <c r="C1040" t="str">
        <f>Hyperlink("https://www.diodes.com/part/view/DMP2900UT","DMP2900UT")</f>
        <v>DMP2900UT</v>
      </c>
      <c r="D1040" t="s">
        <v>74</v>
      </c>
      <c r="E1040" t="s">
        <v>30</v>
      </c>
      <c r="F1040" t="s">
        <v>28</v>
      </c>
      <c r="G1040" t="s">
        <v>75</v>
      </c>
      <c r="H1040" t="s">
        <v>27</v>
      </c>
      <c r="I1040">
        <v>20</v>
      </c>
      <c r="J1040">
        <v>6</v>
      </c>
      <c r="K1040">
        <v>0.5</v>
      </c>
      <c r="M1040">
        <v>0.32</v>
      </c>
      <c r="P1040">
        <v>700</v>
      </c>
      <c r="Q1040">
        <v>900</v>
      </c>
      <c r="R1040">
        <v>1300</v>
      </c>
      <c r="S1040">
        <v>0.5</v>
      </c>
      <c r="T1040">
        <v>1</v>
      </c>
      <c r="U1040">
        <v>0.7</v>
      </c>
      <c r="W1040">
        <v>49</v>
      </c>
      <c r="X1040">
        <v>16</v>
      </c>
      <c r="Y1040" t="s">
        <v>56</v>
      </c>
    </row>
    <row r="1041" spans="1:25">
      <c r="A1041" t="s">
        <v>1869</v>
      </c>
      <c r="B1041" s="2" t="str">
        <f>Hyperlink("https://www.diodes.com/datasheet/download/DMP2900UTQ.pdf")</f>
        <v>https://www.diodes.com/datasheet/download/DMP2900UTQ.pdf</v>
      </c>
      <c r="C1041" t="str">
        <f>Hyperlink("https://www.diodes.com/part/view/DMP2900UTQ","DMP2900UTQ")</f>
        <v>DMP2900UTQ</v>
      </c>
      <c r="D1041" t="s">
        <v>1645</v>
      </c>
      <c r="E1041" t="s">
        <v>27</v>
      </c>
      <c r="F1041" t="s">
        <v>37</v>
      </c>
      <c r="G1041" t="s">
        <v>75</v>
      </c>
      <c r="H1041" t="s">
        <v>27</v>
      </c>
      <c r="I1041">
        <v>20</v>
      </c>
      <c r="J1041">
        <v>6</v>
      </c>
      <c r="K1041">
        <v>0.5</v>
      </c>
      <c r="M1041">
        <v>0.32</v>
      </c>
      <c r="P1041">
        <v>700</v>
      </c>
      <c r="Q1041">
        <v>900</v>
      </c>
      <c r="R1041">
        <v>1300</v>
      </c>
      <c r="S1041">
        <v>0.5</v>
      </c>
      <c r="T1041">
        <v>1</v>
      </c>
      <c r="U1041">
        <v>0.7</v>
      </c>
      <c r="W1041">
        <v>49</v>
      </c>
      <c r="X1041">
        <v>16</v>
      </c>
      <c r="Y1041" t="s">
        <v>56</v>
      </c>
    </row>
    <row r="1042" spans="1:25">
      <c r="A1042" t="s">
        <v>1870</v>
      </c>
      <c r="B1042" s="2" t="str">
        <f>Hyperlink("https://www.diodes.com/datasheet/download/DMP2900UV.pdf")</f>
        <v>https://www.diodes.com/datasheet/download/DMP2900UV.pdf</v>
      </c>
      <c r="C1042" t="str">
        <f>Hyperlink("https://www.diodes.com/part/view/DMP2900UV","DMP2900UV")</f>
        <v>DMP2900UV</v>
      </c>
      <c r="D1042" t="s">
        <v>127</v>
      </c>
      <c r="E1042" t="s">
        <v>30</v>
      </c>
      <c r="F1042" t="s">
        <v>28</v>
      </c>
      <c r="G1042" t="s">
        <v>124</v>
      </c>
      <c r="H1042" t="s">
        <v>27</v>
      </c>
      <c r="I1042">
        <v>20</v>
      </c>
      <c r="J1042">
        <v>6</v>
      </c>
      <c r="K1042">
        <v>0.85</v>
      </c>
      <c r="M1042">
        <v>0.8</v>
      </c>
      <c r="P1042">
        <v>750</v>
      </c>
      <c r="Q1042">
        <v>1050</v>
      </c>
      <c r="R1042">
        <v>1500</v>
      </c>
      <c r="S1042">
        <v>0.5</v>
      </c>
      <c r="T1042">
        <v>1</v>
      </c>
      <c r="U1042">
        <v>0.7</v>
      </c>
      <c r="W1042">
        <v>49</v>
      </c>
      <c r="X1042">
        <v>16</v>
      </c>
      <c r="Y1042" t="s">
        <v>60</v>
      </c>
    </row>
    <row r="1043" spans="1:25">
      <c r="A1043" t="s">
        <v>1871</v>
      </c>
      <c r="B1043" s="2" t="str">
        <f>Hyperlink("https://www.diodes.com/datasheet/download/DMP2900UVQ.pdf")</f>
        <v>https://www.diodes.com/datasheet/download/DMP2900UVQ.pdf</v>
      </c>
      <c r="C1043" t="str">
        <f>Hyperlink("https://www.diodes.com/part/view/DMP2900UVQ","DMP2900UVQ")</f>
        <v>DMP2900UVQ</v>
      </c>
      <c r="D1043" t="s">
        <v>127</v>
      </c>
      <c r="E1043" t="s">
        <v>27</v>
      </c>
      <c r="F1043" t="s">
        <v>37</v>
      </c>
      <c r="G1043" t="s">
        <v>124</v>
      </c>
      <c r="H1043" t="s">
        <v>27</v>
      </c>
      <c r="I1043">
        <v>20</v>
      </c>
      <c r="J1043">
        <v>6</v>
      </c>
      <c r="K1043">
        <v>0.85</v>
      </c>
      <c r="M1043">
        <v>0.8</v>
      </c>
      <c r="P1043">
        <v>750</v>
      </c>
      <c r="Q1043">
        <v>1050</v>
      </c>
      <c r="R1043">
        <v>1500</v>
      </c>
      <c r="S1043">
        <v>0.5</v>
      </c>
      <c r="T1043">
        <v>1</v>
      </c>
      <c r="U1043">
        <v>0.7</v>
      </c>
      <c r="W1043">
        <v>49</v>
      </c>
      <c r="X1043">
        <v>16</v>
      </c>
      <c r="Y1043" t="s">
        <v>60</v>
      </c>
    </row>
    <row r="1044" spans="1:25">
      <c r="A1044" t="s">
        <v>1872</v>
      </c>
      <c r="B1044" s="2" t="str">
        <f>Hyperlink("https://www.diodes.com/datasheet/download/DMP2900UW.pdf")</f>
        <v>https://www.diodes.com/datasheet/download/DMP2900UW.pdf</v>
      </c>
      <c r="C1044" t="str">
        <f>Hyperlink("https://www.diodes.com/part/view/DMP2900UW","DMP2900UW")</f>
        <v>DMP2900UW</v>
      </c>
      <c r="D1044" t="s">
        <v>74</v>
      </c>
      <c r="E1044" t="s">
        <v>30</v>
      </c>
      <c r="F1044" t="s">
        <v>28</v>
      </c>
      <c r="G1044" t="s">
        <v>75</v>
      </c>
      <c r="H1044" t="s">
        <v>27</v>
      </c>
      <c r="I1044">
        <v>20</v>
      </c>
      <c r="J1044">
        <v>6</v>
      </c>
      <c r="K1044">
        <v>0.6</v>
      </c>
      <c r="M1044">
        <v>0.5</v>
      </c>
      <c r="P1044">
        <v>750</v>
      </c>
      <c r="Q1044">
        <v>1050</v>
      </c>
      <c r="R1044">
        <v>1500</v>
      </c>
      <c r="S1044">
        <v>0.5</v>
      </c>
      <c r="T1044">
        <v>1</v>
      </c>
      <c r="U1044">
        <v>0.7</v>
      </c>
      <c r="W1044">
        <v>49</v>
      </c>
      <c r="X1044">
        <v>16</v>
      </c>
      <c r="Y1044" t="s">
        <v>92</v>
      </c>
    </row>
    <row r="1045" spans="1:25">
      <c r="A1045" t="s">
        <v>1873</v>
      </c>
      <c r="B1045" s="2" t="str">
        <f>Hyperlink("https://www.diodes.com/datasheet/download/DMP2900UWQ.pdf")</f>
        <v>https://www.diodes.com/datasheet/download/DMP2900UWQ.pdf</v>
      </c>
      <c r="C1045" t="str">
        <f>Hyperlink("https://www.diodes.com/part/view/DMP2900UWQ","DMP2900UWQ")</f>
        <v>DMP2900UWQ</v>
      </c>
      <c r="D1045" t="s">
        <v>1645</v>
      </c>
      <c r="E1045" t="s">
        <v>27</v>
      </c>
      <c r="F1045" t="s">
        <v>37</v>
      </c>
      <c r="G1045" t="s">
        <v>75</v>
      </c>
      <c r="H1045" t="s">
        <v>27</v>
      </c>
      <c r="I1045">
        <v>20</v>
      </c>
      <c r="J1045">
        <v>6</v>
      </c>
      <c r="K1045">
        <v>0.6</v>
      </c>
      <c r="M1045">
        <v>0.5</v>
      </c>
      <c r="P1045">
        <v>750</v>
      </c>
      <c r="Q1045">
        <v>1050</v>
      </c>
      <c r="R1045">
        <v>1500</v>
      </c>
      <c r="S1045">
        <v>0.5</v>
      </c>
      <c r="T1045">
        <v>1</v>
      </c>
      <c r="U1045">
        <v>0.7</v>
      </c>
      <c r="W1045">
        <v>49</v>
      </c>
      <c r="X1045">
        <v>16</v>
      </c>
      <c r="Y1045" t="s">
        <v>92</v>
      </c>
    </row>
    <row r="1046" spans="1:25">
      <c r="A1046" t="s">
        <v>1874</v>
      </c>
      <c r="B1046" s="2" t="str">
        <f>Hyperlink("https://www.diodes.com/datasheet/download/DMP3004SSS.pdf")</f>
        <v>https://www.diodes.com/datasheet/download/DMP3004SSS.pdf</v>
      </c>
      <c r="C1046" t="str">
        <f>Hyperlink("https://www.diodes.com/part/view/DMP3004SSS","DMP3004SSS")</f>
        <v>DMP3004SSS</v>
      </c>
      <c r="D1046" t="s">
        <v>74</v>
      </c>
      <c r="E1046" t="s">
        <v>30</v>
      </c>
      <c r="F1046" t="s">
        <v>28</v>
      </c>
      <c r="G1046" t="s">
        <v>75</v>
      </c>
      <c r="H1046" t="s">
        <v>27</v>
      </c>
      <c r="I1046">
        <v>30</v>
      </c>
      <c r="J1046">
        <v>20</v>
      </c>
      <c r="K1046">
        <v>16.2</v>
      </c>
      <c r="M1046">
        <v>1.6</v>
      </c>
      <c r="O1046">
        <v>4</v>
      </c>
      <c r="P1046">
        <v>6.5</v>
      </c>
      <c r="T1046">
        <v>2.5</v>
      </c>
      <c r="U1046">
        <v>73</v>
      </c>
      <c r="V1046">
        <v>156</v>
      </c>
      <c r="W1046">
        <v>7693</v>
      </c>
      <c r="X1046">
        <v>15</v>
      </c>
      <c r="Y1046" t="s">
        <v>213</v>
      </c>
    </row>
    <row r="1047" spans="1:25">
      <c r="A1047" t="s">
        <v>1875</v>
      </c>
      <c r="B1047" s="2" t="str">
        <f>Hyperlink("https://www.diodes.com/datasheet/download/DMP3006LPSW.pdf")</f>
        <v>https://www.diodes.com/datasheet/download/DMP3006LPSW.pdf</v>
      </c>
      <c r="C1047" t="str">
        <f>Hyperlink("https://www.diodes.com/part/view/DMP3006LPSW","DMP3006LPSW")</f>
        <v>DMP3006LPSW</v>
      </c>
      <c r="D1047" t="s">
        <v>1645</v>
      </c>
      <c r="E1047" t="s">
        <v>30</v>
      </c>
      <c r="F1047" t="s">
        <v>28</v>
      </c>
      <c r="G1047" t="s">
        <v>75</v>
      </c>
      <c r="H1047" t="s">
        <v>27</v>
      </c>
      <c r="I1047">
        <v>30</v>
      </c>
      <c r="J1047">
        <v>20</v>
      </c>
      <c r="K1047">
        <v>15</v>
      </c>
      <c r="L1047">
        <v>92</v>
      </c>
      <c r="M1047">
        <v>1.6</v>
      </c>
      <c r="O1047">
        <v>7.5</v>
      </c>
      <c r="P1047">
        <v>11</v>
      </c>
      <c r="S1047">
        <v>1.1</v>
      </c>
      <c r="T1047">
        <v>2.1</v>
      </c>
      <c r="U1047">
        <v>51</v>
      </c>
      <c r="V1047">
        <v>106</v>
      </c>
      <c r="W1047">
        <v>5639</v>
      </c>
      <c r="X1047">
        <v>15</v>
      </c>
      <c r="Y1047" t="s">
        <v>1546</v>
      </c>
    </row>
    <row r="1048" spans="1:25">
      <c r="A1048" t="s">
        <v>1876</v>
      </c>
      <c r="B1048" s="2" t="str">
        <f>Hyperlink("https://www.diodes.com/datasheet/download/DMP3006LPSWQ.pdf")</f>
        <v>https://www.diodes.com/datasheet/download/DMP3006LPSWQ.pdf</v>
      </c>
      <c r="C1048" t="str">
        <f>Hyperlink("https://www.diodes.com/part/view/DMP3006LPSWQ","DMP3006LPSWQ")</f>
        <v>DMP3006LPSWQ</v>
      </c>
      <c r="D1048" t="s">
        <v>1645</v>
      </c>
      <c r="E1048" t="s">
        <v>27</v>
      </c>
      <c r="F1048" t="s">
        <v>37</v>
      </c>
      <c r="G1048" t="s">
        <v>75</v>
      </c>
      <c r="H1048" t="s">
        <v>27</v>
      </c>
      <c r="I1048">
        <v>30</v>
      </c>
      <c r="J1048">
        <v>20</v>
      </c>
      <c r="K1048">
        <v>15</v>
      </c>
      <c r="L1048">
        <v>92</v>
      </c>
      <c r="M1048">
        <v>1.6</v>
      </c>
      <c r="O1048">
        <v>7.5</v>
      </c>
      <c r="P1048">
        <v>11</v>
      </c>
      <c r="S1048">
        <v>1.1</v>
      </c>
      <c r="T1048">
        <v>2.1</v>
      </c>
      <c r="U1048">
        <v>51</v>
      </c>
      <c r="V1048">
        <v>106</v>
      </c>
      <c r="W1048">
        <v>5639</v>
      </c>
      <c r="X1048">
        <v>15</v>
      </c>
      <c r="Y1048" t="s">
        <v>1546</v>
      </c>
    </row>
    <row r="1049" spans="1:25">
      <c r="A1049" t="s">
        <v>1877</v>
      </c>
      <c r="B1049" s="2" t="str">
        <f>Hyperlink("https://www.diodes.com/datasheet/download/DMP3007LK3.pdf")</f>
        <v>https://www.diodes.com/datasheet/download/DMP3007LK3.pdf</v>
      </c>
      <c r="C1049" t="str">
        <f>Hyperlink("https://www.diodes.com/part/view/DMP3007LK3","DMP3007LK3")</f>
        <v>DMP3007LK3</v>
      </c>
      <c r="D1049" t="s">
        <v>74</v>
      </c>
      <c r="E1049" t="s">
        <v>30</v>
      </c>
      <c r="F1049" t="s">
        <v>28</v>
      </c>
      <c r="G1049" t="s">
        <v>75</v>
      </c>
      <c r="H1049" t="s">
        <v>27</v>
      </c>
      <c r="I1049">
        <v>30</v>
      </c>
      <c r="J1049">
        <v>25</v>
      </c>
      <c r="K1049">
        <v>18.5</v>
      </c>
      <c r="M1049">
        <v>3</v>
      </c>
      <c r="O1049">
        <v>7</v>
      </c>
      <c r="P1049">
        <v>10</v>
      </c>
      <c r="T1049">
        <v>2.8</v>
      </c>
      <c r="U1049">
        <v>31.2</v>
      </c>
      <c r="V1049">
        <v>64.2</v>
      </c>
      <c r="W1049">
        <v>2826</v>
      </c>
      <c r="X1049">
        <v>15</v>
      </c>
      <c r="Y1049" t="s">
        <v>681</v>
      </c>
    </row>
    <row r="1050" spans="1:25">
      <c r="A1050" t="s">
        <v>1878</v>
      </c>
      <c r="B1050" s="2" t="str">
        <f>Hyperlink("https://www.diodes.com/datasheet/download/DMP3007LK3Q.pdf")</f>
        <v>https://www.diodes.com/datasheet/download/DMP3007LK3Q.pdf</v>
      </c>
      <c r="C1050" t="str">
        <f>Hyperlink("https://www.diodes.com/part/view/DMP3007LK3Q","DMP3007LK3Q")</f>
        <v>DMP3007LK3Q</v>
      </c>
      <c r="D1050" t="s">
        <v>74</v>
      </c>
      <c r="E1050" t="s">
        <v>27</v>
      </c>
      <c r="F1050" t="s">
        <v>37</v>
      </c>
      <c r="G1050" t="s">
        <v>75</v>
      </c>
      <c r="H1050" t="s">
        <v>27</v>
      </c>
      <c r="I1050">
        <v>30</v>
      </c>
      <c r="J1050">
        <v>20</v>
      </c>
      <c r="K1050">
        <v>18.5</v>
      </c>
      <c r="N1050">
        <v>3</v>
      </c>
      <c r="O1050">
        <v>7</v>
      </c>
      <c r="P1050">
        <v>10</v>
      </c>
      <c r="T1050">
        <v>2.8</v>
      </c>
      <c r="U1050">
        <v>31.2</v>
      </c>
      <c r="V1050">
        <v>64.2</v>
      </c>
      <c r="W1050">
        <v>2826</v>
      </c>
      <c r="X1050">
        <v>15</v>
      </c>
      <c r="Y1050" t="s">
        <v>681</v>
      </c>
    </row>
    <row r="1051" spans="1:25">
      <c r="A1051" t="s">
        <v>1879</v>
      </c>
      <c r="B1051" s="2" t="str">
        <f>Hyperlink("https://www.diodes.com/datasheet/download/DMP3007LSS.pdf")</f>
        <v>https://www.diodes.com/datasheet/download/DMP3007LSS.pdf</v>
      </c>
      <c r="C1051" t="str">
        <f>Hyperlink("https://www.diodes.com/part/view/DMP3007LSS","DMP3007LSS")</f>
        <v>DMP3007LSS</v>
      </c>
      <c r="D1051" t="s">
        <v>74</v>
      </c>
      <c r="E1051" t="s">
        <v>30</v>
      </c>
      <c r="F1051" t="s">
        <v>28</v>
      </c>
      <c r="G1051" t="s">
        <v>75</v>
      </c>
      <c r="H1051" t="s">
        <v>27</v>
      </c>
      <c r="I1051">
        <v>30</v>
      </c>
      <c r="J1051">
        <v>25</v>
      </c>
      <c r="K1051">
        <v>14</v>
      </c>
      <c r="M1051">
        <v>2.1</v>
      </c>
      <c r="O1051">
        <v>7</v>
      </c>
      <c r="P1051">
        <v>10</v>
      </c>
      <c r="T1051">
        <v>2.8</v>
      </c>
      <c r="U1051">
        <v>31.2</v>
      </c>
      <c r="V1051">
        <v>64.2</v>
      </c>
      <c r="W1051">
        <v>2826</v>
      </c>
      <c r="X1051">
        <v>15</v>
      </c>
      <c r="Y1051" t="s">
        <v>213</v>
      </c>
    </row>
    <row r="1052" spans="1:25">
      <c r="A1052" t="s">
        <v>1880</v>
      </c>
      <c r="B1052" s="2" t="str">
        <f>Hyperlink("https://www.diodes.com/datasheet/download/DMP3007SCG.pdf")</f>
        <v>https://www.diodes.com/datasheet/download/DMP3007SCG.pdf</v>
      </c>
      <c r="C1052" t="str">
        <f>Hyperlink("https://www.diodes.com/part/view/DMP3007SCG","DMP3007SCG")</f>
        <v>DMP3007SCG</v>
      </c>
      <c r="D1052" t="s">
        <v>661</v>
      </c>
      <c r="E1052" t="s">
        <v>30</v>
      </c>
      <c r="F1052" t="s">
        <v>28</v>
      </c>
      <c r="G1052" t="s">
        <v>75</v>
      </c>
      <c r="H1052" t="s">
        <v>27</v>
      </c>
      <c r="I1052">
        <v>30</v>
      </c>
      <c r="J1052">
        <v>25</v>
      </c>
      <c r="L1052">
        <v>50</v>
      </c>
      <c r="M1052">
        <v>2.4</v>
      </c>
      <c r="O1052">
        <v>6.8</v>
      </c>
      <c r="P1052">
        <v>13</v>
      </c>
      <c r="T1052">
        <v>3</v>
      </c>
      <c r="U1052">
        <v>31.2</v>
      </c>
      <c r="V1052">
        <v>64.2</v>
      </c>
      <c r="W1052">
        <v>2826</v>
      </c>
      <c r="X1052">
        <v>15</v>
      </c>
      <c r="Y1052" t="s">
        <v>1881</v>
      </c>
    </row>
    <row r="1053" spans="1:25">
      <c r="A1053" t="s">
        <v>1882</v>
      </c>
      <c r="B1053" s="2" t="str">
        <f>Hyperlink("https://www.diodes.com/datasheet/download/DMP3007SCGQ.pdf")</f>
        <v>https://www.diodes.com/datasheet/download/DMP3007SCGQ.pdf</v>
      </c>
      <c r="C1053" t="str">
        <f>Hyperlink("https://www.diodes.com/part/view/DMP3007SCGQ","DMP3007SCGQ")</f>
        <v>DMP3007SCGQ</v>
      </c>
      <c r="D1053" t="s">
        <v>661</v>
      </c>
      <c r="E1053" t="s">
        <v>27</v>
      </c>
      <c r="F1053" t="s">
        <v>37</v>
      </c>
      <c r="G1053" t="s">
        <v>75</v>
      </c>
      <c r="H1053" t="s">
        <v>27</v>
      </c>
      <c r="I1053">
        <v>30</v>
      </c>
      <c r="J1053">
        <v>25</v>
      </c>
      <c r="L1053">
        <v>50</v>
      </c>
      <c r="M1053">
        <v>2.4</v>
      </c>
      <c r="O1053">
        <v>6.8</v>
      </c>
      <c r="P1053">
        <v>13</v>
      </c>
      <c r="T1053">
        <v>3</v>
      </c>
      <c r="U1053">
        <v>31.2</v>
      </c>
      <c r="V1053">
        <v>64.2</v>
      </c>
      <c r="W1053">
        <v>2826</v>
      </c>
      <c r="X1053">
        <v>15</v>
      </c>
      <c r="Y1053" t="s">
        <v>1881</v>
      </c>
    </row>
    <row r="1054" spans="1:25">
      <c r="A1054" t="s">
        <v>1883</v>
      </c>
      <c r="B1054" s="2" t="str">
        <f>Hyperlink("https://www.diodes.com/datasheet/download/DMP3007SFG.pdf")</f>
        <v>https://www.diodes.com/datasheet/download/DMP3007SFG.pdf</v>
      </c>
      <c r="C1054" t="str">
        <f>Hyperlink("https://www.diodes.com/part/view/DMP3007SFG","DMP3007SFG")</f>
        <v>DMP3007SFG</v>
      </c>
      <c r="D1054" t="s">
        <v>661</v>
      </c>
      <c r="E1054" t="s">
        <v>30</v>
      </c>
      <c r="F1054" t="s">
        <v>28</v>
      </c>
      <c r="G1054" t="s">
        <v>75</v>
      </c>
      <c r="H1054" t="s">
        <v>27</v>
      </c>
      <c r="I1054">
        <v>30</v>
      </c>
      <c r="J1054">
        <v>25</v>
      </c>
      <c r="L1054">
        <v>70</v>
      </c>
      <c r="M1054">
        <v>2.8</v>
      </c>
      <c r="O1054">
        <v>6</v>
      </c>
      <c r="P1054">
        <v>13</v>
      </c>
      <c r="T1054">
        <v>3</v>
      </c>
      <c r="U1054">
        <v>31.2</v>
      </c>
      <c r="V1054">
        <v>64.2</v>
      </c>
      <c r="W1054">
        <v>2826</v>
      </c>
      <c r="X1054">
        <v>15</v>
      </c>
      <c r="Y1054" t="s">
        <v>718</v>
      </c>
    </row>
    <row r="1055" spans="1:25">
      <c r="A1055" t="s">
        <v>1884</v>
      </c>
      <c r="B1055" s="2" t="str">
        <f>Hyperlink("https://www.diodes.com/datasheet/download/DMP3007SPS.pdf")</f>
        <v>https://www.diodes.com/datasheet/download/DMP3007SPS.pdf</v>
      </c>
      <c r="C1055" t="str">
        <f>Hyperlink("https://www.diodes.com/part/view/DMP3007SPS","DMP3007SPS")</f>
        <v>DMP3007SPS</v>
      </c>
      <c r="D1055" t="s">
        <v>74</v>
      </c>
      <c r="E1055" t="s">
        <v>30</v>
      </c>
      <c r="F1055" t="s">
        <v>28</v>
      </c>
      <c r="G1055" t="s">
        <v>75</v>
      </c>
      <c r="H1055" t="s">
        <v>27</v>
      </c>
      <c r="I1055">
        <v>30</v>
      </c>
      <c r="J1055">
        <v>25</v>
      </c>
      <c r="L1055">
        <v>90</v>
      </c>
      <c r="M1055">
        <v>2.7</v>
      </c>
      <c r="O1055">
        <v>7</v>
      </c>
      <c r="P1055">
        <v>16</v>
      </c>
      <c r="T1055">
        <v>3</v>
      </c>
      <c r="U1055">
        <v>31.2</v>
      </c>
      <c r="V1055">
        <v>64.2</v>
      </c>
      <c r="W1055">
        <v>2826</v>
      </c>
      <c r="X1055">
        <v>15</v>
      </c>
      <c r="Y1055" t="s">
        <v>907</v>
      </c>
    </row>
    <row r="1056" spans="1:25">
      <c r="A1056" t="s">
        <v>1885</v>
      </c>
      <c r="B1056" s="2" t="str">
        <f>Hyperlink("https://www.diodes.com/datasheet/download/DMP3007SPSQ.pdf")</f>
        <v>https://www.diodes.com/datasheet/download/DMP3007SPSQ.pdf</v>
      </c>
      <c r="C1056" t="str">
        <f>Hyperlink("https://www.diodes.com/part/view/DMP3007SPSQ","DMP3007SPSQ")</f>
        <v>DMP3007SPSQ</v>
      </c>
      <c r="D1056" t="s">
        <v>74</v>
      </c>
      <c r="E1056" t="s">
        <v>27</v>
      </c>
      <c r="F1056" t="s">
        <v>37</v>
      </c>
      <c r="G1056" t="s">
        <v>75</v>
      </c>
      <c r="H1056" t="s">
        <v>27</v>
      </c>
      <c r="I1056">
        <v>30</v>
      </c>
      <c r="J1056">
        <v>25</v>
      </c>
      <c r="L1056">
        <v>90</v>
      </c>
      <c r="M1056">
        <v>2.7</v>
      </c>
      <c r="N1056">
        <v>80</v>
      </c>
      <c r="O1056">
        <v>7</v>
      </c>
      <c r="P1056">
        <v>16</v>
      </c>
      <c r="T1056">
        <v>3</v>
      </c>
      <c r="U1056">
        <v>31.2</v>
      </c>
      <c r="V1056">
        <v>64.2</v>
      </c>
      <c r="W1056">
        <v>2826</v>
      </c>
      <c r="X1056">
        <v>15</v>
      </c>
      <c r="Y1056" t="s">
        <v>907</v>
      </c>
    </row>
    <row r="1057" spans="1:25">
      <c r="A1057" t="s">
        <v>1886</v>
      </c>
      <c r="B1057" s="2" t="str">
        <f>Hyperlink("https://www.diodes.com/datasheet/download/DMP3008SFGQ.pdf")</f>
        <v>https://www.diodes.com/datasheet/download/DMP3008SFGQ.pdf</v>
      </c>
      <c r="C1057" t="str">
        <f>Hyperlink("https://www.diodes.com/part/view/DMP3008SFGQ","DMP3008SFGQ")</f>
        <v>DMP3008SFGQ</v>
      </c>
      <c r="D1057" t="s">
        <v>661</v>
      </c>
      <c r="E1057" t="s">
        <v>27</v>
      </c>
      <c r="F1057" t="s">
        <v>37</v>
      </c>
      <c r="G1057" t="s">
        <v>75</v>
      </c>
      <c r="H1057" t="s">
        <v>30</v>
      </c>
      <c r="I1057">
        <v>30</v>
      </c>
      <c r="J1057">
        <v>20</v>
      </c>
      <c r="K1057">
        <v>8.6</v>
      </c>
      <c r="M1057">
        <v>2.2</v>
      </c>
      <c r="O1057">
        <v>17</v>
      </c>
      <c r="P1057">
        <v>25</v>
      </c>
      <c r="T1057">
        <v>2.1</v>
      </c>
      <c r="U1057">
        <v>23</v>
      </c>
      <c r="V1057">
        <v>47</v>
      </c>
      <c r="W1057">
        <v>2230</v>
      </c>
      <c r="X1057">
        <v>15</v>
      </c>
      <c r="Y1057" t="s">
        <v>718</v>
      </c>
    </row>
    <row r="1058" spans="1:25">
      <c r="A1058" t="s">
        <v>1887</v>
      </c>
      <c r="B1058" s="2" t="str">
        <f>Hyperlink("https://www.diodes.com/datasheet/download/DMP3011SFK.pdf")</f>
        <v>https://www.diodes.com/datasheet/download/DMP3011SFK.pdf</v>
      </c>
      <c r="C1058" t="str">
        <f>Hyperlink("https://www.diodes.com/part/view/DMP3011SFK","DMP3011SFK")</f>
        <v>DMP3011SFK</v>
      </c>
      <c r="D1058" t="s">
        <v>1645</v>
      </c>
      <c r="E1058" t="s">
        <v>30</v>
      </c>
      <c r="F1058" t="s">
        <v>28</v>
      </c>
      <c r="G1058" t="s">
        <v>75</v>
      </c>
      <c r="H1058" t="s">
        <v>27</v>
      </c>
      <c r="I1058">
        <v>30</v>
      </c>
      <c r="J1058">
        <v>25</v>
      </c>
      <c r="K1058">
        <v>10.7</v>
      </c>
      <c r="M1058">
        <v>2.07</v>
      </c>
      <c r="O1058">
        <v>12</v>
      </c>
      <c r="P1058">
        <v>25</v>
      </c>
      <c r="S1058">
        <v>1</v>
      </c>
      <c r="T1058">
        <v>2.5</v>
      </c>
      <c r="U1058" t="s">
        <v>1888</v>
      </c>
      <c r="V1058">
        <v>46</v>
      </c>
      <c r="W1058">
        <v>2380</v>
      </c>
      <c r="X1058">
        <v>15</v>
      </c>
      <c r="Y1058" t="s">
        <v>1714</v>
      </c>
    </row>
    <row r="1059" spans="1:25">
      <c r="A1059" t="s">
        <v>1889</v>
      </c>
      <c r="B1059" s="2" t="str">
        <f>Hyperlink("https://www.diodes.com/datasheet/download/DMP3011SFVW.pdf")</f>
        <v>https://www.diodes.com/datasheet/download/DMP3011SFVW.pdf</v>
      </c>
      <c r="C1059" t="str">
        <f>Hyperlink("https://www.diodes.com/part/view/DMP3011SFVW","DMP3011SFVW")</f>
        <v>DMP3011SFVW</v>
      </c>
      <c r="D1059" t="s">
        <v>661</v>
      </c>
      <c r="E1059" t="s">
        <v>30</v>
      </c>
      <c r="F1059" t="s">
        <v>28</v>
      </c>
      <c r="G1059" t="s">
        <v>75</v>
      </c>
      <c r="H1059" t="s">
        <v>27</v>
      </c>
      <c r="I1059">
        <v>30</v>
      </c>
      <c r="J1059">
        <v>25</v>
      </c>
      <c r="K1059">
        <v>19.8</v>
      </c>
      <c r="L1059">
        <v>50</v>
      </c>
      <c r="M1059">
        <v>2.25</v>
      </c>
      <c r="O1059">
        <v>10</v>
      </c>
      <c r="P1059">
        <v>18</v>
      </c>
      <c r="T1059">
        <v>3</v>
      </c>
      <c r="U1059" t="s">
        <v>1890</v>
      </c>
      <c r="V1059">
        <v>46</v>
      </c>
      <c r="W1059">
        <v>2380</v>
      </c>
      <c r="X1059">
        <v>15</v>
      </c>
      <c r="Y1059" t="s">
        <v>1109</v>
      </c>
    </row>
    <row r="1060" spans="1:25">
      <c r="A1060" t="s">
        <v>1891</v>
      </c>
      <c r="B1060" s="2" t="str">
        <f>Hyperlink("https://www.diodes.com/datasheet/download/DMP3011SFVWQ.pdf")</f>
        <v>https://www.diodes.com/datasheet/download/DMP3011SFVWQ.pdf</v>
      </c>
      <c r="C1060" t="str">
        <f>Hyperlink("https://www.diodes.com/part/view/DMP3011SFVWQ","DMP3011SFVWQ")</f>
        <v>DMP3011SFVWQ</v>
      </c>
      <c r="D1060" t="s">
        <v>661</v>
      </c>
      <c r="E1060" t="s">
        <v>27</v>
      </c>
      <c r="F1060" t="s">
        <v>37</v>
      </c>
      <c r="G1060" t="s">
        <v>75</v>
      </c>
      <c r="H1060" t="s">
        <v>27</v>
      </c>
      <c r="I1060">
        <v>30</v>
      </c>
      <c r="J1060">
        <v>25</v>
      </c>
      <c r="K1060">
        <v>19.8</v>
      </c>
      <c r="L1060">
        <v>50</v>
      </c>
      <c r="M1060">
        <v>2.25</v>
      </c>
      <c r="O1060">
        <v>10</v>
      </c>
      <c r="P1060">
        <v>18</v>
      </c>
      <c r="S1060">
        <v>1</v>
      </c>
      <c r="T1060">
        <v>3</v>
      </c>
      <c r="U1060" t="s">
        <v>1890</v>
      </c>
      <c r="V1060">
        <v>46</v>
      </c>
      <c r="W1060">
        <v>2380</v>
      </c>
      <c r="X1060">
        <v>15</v>
      </c>
      <c r="Y1060" t="s">
        <v>1109</v>
      </c>
    </row>
    <row r="1061" spans="1:25">
      <c r="A1061" t="s">
        <v>1892</v>
      </c>
      <c r="B1061" s="2" t="str">
        <f>Hyperlink("https://www.diodes.com/datasheet/download/DMP3011SPDW.pdf")</f>
        <v>https://www.diodes.com/datasheet/download/DMP3011SPDW.pdf</v>
      </c>
      <c r="C1061" t="str">
        <f>Hyperlink("https://www.diodes.com/part/view/DMP3011SPDW","DMP3011SPDW")</f>
        <v>DMP3011SPDW</v>
      </c>
      <c r="D1061" t="s">
        <v>1893</v>
      </c>
      <c r="E1061" t="s">
        <v>30</v>
      </c>
      <c r="F1061" t="s">
        <v>28</v>
      </c>
      <c r="G1061" t="s">
        <v>124</v>
      </c>
      <c r="H1061" t="s">
        <v>27</v>
      </c>
      <c r="I1061">
        <v>30</v>
      </c>
      <c r="J1061">
        <v>25</v>
      </c>
      <c r="K1061">
        <v>12.1</v>
      </c>
      <c r="L1061">
        <v>38.2</v>
      </c>
      <c r="M1061">
        <v>2.9</v>
      </c>
      <c r="O1061">
        <v>13</v>
      </c>
      <c r="P1061">
        <v>20</v>
      </c>
      <c r="S1061">
        <v>1</v>
      </c>
      <c r="T1061">
        <v>3</v>
      </c>
      <c r="U1061" t="s">
        <v>1894</v>
      </c>
      <c r="V1061">
        <v>46</v>
      </c>
      <c r="W1061">
        <v>2380</v>
      </c>
      <c r="X1061">
        <v>15</v>
      </c>
      <c r="Y1061" t="s">
        <v>168</v>
      </c>
    </row>
    <row r="1062" spans="1:25">
      <c r="A1062" t="s">
        <v>1895</v>
      </c>
      <c r="B1062" s="2" t="str">
        <f>Hyperlink("https://www.diodes.com/datasheet/download/DMP3011SPSW.pdf")</f>
        <v>https://www.diodes.com/datasheet/download/DMP3011SPSW.pdf</v>
      </c>
      <c r="C1062" t="str">
        <f>Hyperlink("https://www.diodes.com/part/view/DMP3011SPSW","DMP3011SPSW")</f>
        <v>DMP3011SPSW</v>
      </c>
      <c r="D1062" t="s">
        <v>1896</v>
      </c>
      <c r="E1062" t="s">
        <v>30</v>
      </c>
      <c r="F1062" t="s">
        <v>28</v>
      </c>
      <c r="G1062" t="s">
        <v>75</v>
      </c>
      <c r="H1062" t="s">
        <v>27</v>
      </c>
      <c r="I1062">
        <v>30</v>
      </c>
      <c r="J1062">
        <v>25</v>
      </c>
      <c r="K1062">
        <v>14</v>
      </c>
      <c r="L1062">
        <v>65</v>
      </c>
      <c r="M1062">
        <v>2.8</v>
      </c>
      <c r="O1062">
        <v>10</v>
      </c>
      <c r="P1062">
        <v>18</v>
      </c>
      <c r="S1062">
        <v>1</v>
      </c>
      <c r="T1062">
        <v>3</v>
      </c>
      <c r="U1062" t="s">
        <v>1894</v>
      </c>
      <c r="V1062">
        <v>46</v>
      </c>
      <c r="W1062">
        <v>2380</v>
      </c>
      <c r="X1062">
        <v>15</v>
      </c>
      <c r="Y1062" t="s">
        <v>1546</v>
      </c>
    </row>
    <row r="1063" spans="1:25">
      <c r="A1063" t="s">
        <v>1897</v>
      </c>
      <c r="B1063" s="2" t="str">
        <f>Hyperlink("https://www.diodes.com/datasheet/download/DMP3011SSS.pdf")</f>
        <v>https://www.diodes.com/datasheet/download/DMP3011SSS.pdf</v>
      </c>
      <c r="C1063" t="str">
        <f>Hyperlink("https://www.diodes.com/part/view/DMP3011SSS","DMP3011SSS")</f>
        <v>DMP3011SSS</v>
      </c>
      <c r="D1063" t="s">
        <v>661</v>
      </c>
      <c r="E1063" t="s">
        <v>30</v>
      </c>
      <c r="F1063" t="s">
        <v>28</v>
      </c>
      <c r="G1063" t="s">
        <v>75</v>
      </c>
      <c r="H1063" t="s">
        <v>27</v>
      </c>
      <c r="I1063">
        <v>30</v>
      </c>
      <c r="J1063">
        <v>25</v>
      </c>
      <c r="K1063">
        <v>11</v>
      </c>
      <c r="L1063">
        <v>32</v>
      </c>
      <c r="M1063">
        <v>1.8</v>
      </c>
      <c r="O1063">
        <v>10</v>
      </c>
      <c r="P1063">
        <v>18</v>
      </c>
      <c r="T1063">
        <v>3</v>
      </c>
      <c r="U1063">
        <v>25</v>
      </c>
      <c r="V1063">
        <v>46</v>
      </c>
      <c r="W1063">
        <v>2380</v>
      </c>
      <c r="X1063">
        <v>15</v>
      </c>
      <c r="Y1063" t="s">
        <v>213</v>
      </c>
    </row>
    <row r="1064" spans="1:25">
      <c r="A1064" t="s">
        <v>1898</v>
      </c>
      <c r="B1064" s="2" t="str">
        <f>Hyperlink("https://www.diodes.com/datasheet/download/DMP3012LPS.pdf")</f>
        <v>https://www.diodes.com/datasheet/download/DMP3012LPS.pdf</v>
      </c>
      <c r="C1064" t="str">
        <f>Hyperlink("https://www.diodes.com/part/view/DMP3012LPS","DMP3012LPS")</f>
        <v>DMP3012LPS</v>
      </c>
      <c r="D1064" t="s">
        <v>74</v>
      </c>
      <c r="E1064" t="s">
        <v>27</v>
      </c>
      <c r="F1064" t="s">
        <v>28</v>
      </c>
      <c r="G1064" t="s">
        <v>75</v>
      </c>
      <c r="H1064" t="s">
        <v>30</v>
      </c>
      <c r="I1064">
        <v>30</v>
      </c>
      <c r="J1064">
        <v>20</v>
      </c>
      <c r="K1064">
        <v>13.2</v>
      </c>
      <c r="M1064">
        <v>2.36</v>
      </c>
      <c r="O1064">
        <v>9</v>
      </c>
      <c r="P1064">
        <v>12</v>
      </c>
      <c r="T1064">
        <v>2.1</v>
      </c>
      <c r="U1064">
        <v>66</v>
      </c>
      <c r="V1064">
        <v>139</v>
      </c>
      <c r="W1064">
        <v>6807</v>
      </c>
      <c r="Y1064" t="s">
        <v>907</v>
      </c>
    </row>
    <row r="1065" spans="1:25">
      <c r="A1065" t="s">
        <v>1899</v>
      </c>
      <c r="B1065" s="2" t="str">
        <f>Hyperlink("https://www.diodes.com/datasheet/download/DMP3012SPSW.pdf")</f>
        <v>https://www.diodes.com/datasheet/download/DMP3012SPSW.pdf</v>
      </c>
      <c r="C1065" t="str">
        <f>Hyperlink("https://www.diodes.com/part/view/DMP3012SPSW","DMP3012SPSW")</f>
        <v>DMP3012SPSW</v>
      </c>
      <c r="D1065" t="s">
        <v>1900</v>
      </c>
      <c r="E1065" t="s">
        <v>30</v>
      </c>
      <c r="F1065" t="s">
        <v>28</v>
      </c>
      <c r="G1065" t="s">
        <v>75</v>
      </c>
      <c r="H1065" t="s">
        <v>30</v>
      </c>
      <c r="I1065">
        <v>30</v>
      </c>
      <c r="J1065">
        <v>20</v>
      </c>
      <c r="K1065">
        <v>14</v>
      </c>
      <c r="L1065">
        <v>71</v>
      </c>
      <c r="M1065">
        <v>3.3</v>
      </c>
      <c r="O1065">
        <v>10</v>
      </c>
      <c r="P1065">
        <v>18</v>
      </c>
      <c r="S1065">
        <v>1</v>
      </c>
      <c r="T1065">
        <v>3</v>
      </c>
      <c r="U1065">
        <v>56</v>
      </c>
      <c r="V1065">
        <v>109</v>
      </c>
      <c r="W1065">
        <v>5929</v>
      </c>
      <c r="X1065">
        <v>15</v>
      </c>
      <c r="Y1065" t="s">
        <v>1546</v>
      </c>
    </row>
    <row r="1066" spans="1:25">
      <c r="A1066" t="s">
        <v>1901</v>
      </c>
      <c r="B1066" s="2" t="str">
        <f>Hyperlink("https://www.diodes.com/datasheet/download/DMP3013SFK.pdf")</f>
        <v>https://www.diodes.com/datasheet/download/DMP3013SFK.pdf</v>
      </c>
      <c r="C1066" t="str">
        <f>Hyperlink("https://www.diodes.com/part/view/DMP3013SFK","DMP3013SFK")</f>
        <v>DMP3013SFK</v>
      </c>
      <c r="D1066" t="s">
        <v>74</v>
      </c>
      <c r="E1066" t="s">
        <v>30</v>
      </c>
      <c r="F1066" t="s">
        <v>28</v>
      </c>
      <c r="G1066" t="s">
        <v>75</v>
      </c>
      <c r="H1066" t="s">
        <v>27</v>
      </c>
      <c r="I1066">
        <v>30</v>
      </c>
      <c r="J1066">
        <v>25</v>
      </c>
      <c r="K1066">
        <v>10.5</v>
      </c>
      <c r="M1066">
        <v>2.1</v>
      </c>
      <c r="O1066">
        <v>14</v>
      </c>
      <c r="P1066">
        <v>25</v>
      </c>
      <c r="T1066">
        <v>3</v>
      </c>
      <c r="U1066" t="s">
        <v>1902</v>
      </c>
      <c r="V1066">
        <v>33.7</v>
      </c>
      <c r="W1066">
        <v>1674</v>
      </c>
      <c r="X1066">
        <v>15</v>
      </c>
      <c r="Y1066" t="s">
        <v>1714</v>
      </c>
    </row>
    <row r="1067" spans="1:25">
      <c r="A1067" t="s">
        <v>1903</v>
      </c>
      <c r="B1067" s="2" t="str">
        <f>Hyperlink("https://www.diodes.com/datasheet/download/DMP3013SFV.pdf")</f>
        <v>https://www.diodes.com/datasheet/download/DMP3013SFV.pdf</v>
      </c>
      <c r="C1067" t="str">
        <f>Hyperlink("https://www.diodes.com/part/view/DMP3013SFV","DMP3013SFV")</f>
        <v>DMP3013SFV</v>
      </c>
      <c r="D1067" t="s">
        <v>661</v>
      </c>
      <c r="E1067" t="s">
        <v>30</v>
      </c>
      <c r="F1067" t="s">
        <v>28</v>
      </c>
      <c r="G1067" t="s">
        <v>75</v>
      </c>
      <c r="H1067" t="s">
        <v>27</v>
      </c>
      <c r="I1067">
        <v>30</v>
      </c>
      <c r="J1067">
        <v>25</v>
      </c>
      <c r="K1067">
        <v>12</v>
      </c>
      <c r="M1067">
        <v>1.94</v>
      </c>
      <c r="O1067">
        <v>9.5</v>
      </c>
      <c r="P1067">
        <v>17</v>
      </c>
      <c r="T1067">
        <v>3</v>
      </c>
      <c r="U1067" t="s">
        <v>1902</v>
      </c>
      <c r="V1067">
        <v>33.7</v>
      </c>
      <c r="W1067">
        <v>1674</v>
      </c>
      <c r="X1067">
        <v>15</v>
      </c>
      <c r="Y1067" t="s">
        <v>783</v>
      </c>
    </row>
    <row r="1068" spans="1:25">
      <c r="A1068" t="s">
        <v>1904</v>
      </c>
      <c r="B1068" s="2" t="str">
        <f>Hyperlink("https://www.diodes.com/datasheet/download/DMP3014SFDE.pdf")</f>
        <v>https://www.diodes.com/datasheet/download/DMP3014SFDE.pdf</v>
      </c>
      <c r="C1068" t="str">
        <f>Hyperlink("https://www.diodes.com/part/view/DMP3014SFDE","DMP3014SFDE")</f>
        <v>DMP3014SFDE</v>
      </c>
      <c r="D1068" t="s">
        <v>1900</v>
      </c>
      <c r="E1068" t="s">
        <v>30</v>
      </c>
      <c r="F1068" t="s">
        <v>28</v>
      </c>
      <c r="G1068" t="s">
        <v>75</v>
      </c>
      <c r="H1068" t="s">
        <v>27</v>
      </c>
      <c r="I1068">
        <v>30</v>
      </c>
      <c r="J1068">
        <v>25</v>
      </c>
      <c r="K1068">
        <v>11.4</v>
      </c>
      <c r="M1068">
        <v>2.2</v>
      </c>
      <c r="O1068">
        <v>13.5</v>
      </c>
      <c r="P1068">
        <v>35</v>
      </c>
      <c r="S1068">
        <v>1.2</v>
      </c>
      <c r="T1068">
        <v>2.6</v>
      </c>
      <c r="U1068">
        <v>9</v>
      </c>
      <c r="V1068">
        <v>18</v>
      </c>
      <c r="W1068">
        <v>1015</v>
      </c>
      <c r="X1068">
        <v>15</v>
      </c>
      <c r="Y1068" t="s">
        <v>778</v>
      </c>
    </row>
    <row r="1069" spans="1:25">
      <c r="A1069" t="s">
        <v>1905</v>
      </c>
      <c r="B1069" s="2" t="str">
        <f>Hyperlink("https://www.diodes.com/datasheet/download/DMP3017SFK.pdf")</f>
        <v>https://www.diodes.com/datasheet/download/DMP3017SFK.pdf</v>
      </c>
      <c r="C1069" t="str">
        <f>Hyperlink("https://www.diodes.com/part/view/DMP3017SFK","DMP3017SFK")</f>
        <v>DMP3017SFK</v>
      </c>
      <c r="D1069" t="s">
        <v>74</v>
      </c>
      <c r="E1069" t="s">
        <v>27</v>
      </c>
      <c r="F1069" t="s">
        <v>28</v>
      </c>
      <c r="G1069" t="s">
        <v>75</v>
      </c>
      <c r="H1069" t="s">
        <v>27</v>
      </c>
      <c r="I1069">
        <v>30</v>
      </c>
      <c r="J1069">
        <v>25</v>
      </c>
      <c r="K1069">
        <v>10.4</v>
      </c>
      <c r="M1069">
        <v>2.2</v>
      </c>
      <c r="O1069">
        <v>14</v>
      </c>
      <c r="P1069">
        <v>25</v>
      </c>
      <c r="T1069">
        <v>2.5</v>
      </c>
      <c r="U1069">
        <v>21.6</v>
      </c>
      <c r="V1069">
        <v>42.7</v>
      </c>
      <c r="W1069">
        <v>2207</v>
      </c>
      <c r="Y1069" t="s">
        <v>1714</v>
      </c>
    </row>
    <row r="1070" spans="1:25">
      <c r="A1070" t="s">
        <v>1906</v>
      </c>
      <c r="B1070" s="2" t="str">
        <f>Hyperlink("https://www.diodes.com/datasheet/download/DMP3018SFK.pdf")</f>
        <v>https://www.diodes.com/datasheet/download/DMP3018SFK.pdf</v>
      </c>
      <c r="C1070" t="str">
        <f>Hyperlink("https://www.diodes.com/part/view/DMP3018SFK","DMP3018SFK")</f>
        <v>DMP3018SFK</v>
      </c>
      <c r="D1070" t="s">
        <v>661</v>
      </c>
      <c r="E1070" t="s">
        <v>27</v>
      </c>
      <c r="F1070" t="s">
        <v>28</v>
      </c>
      <c r="G1070" t="s">
        <v>75</v>
      </c>
      <c r="H1070" t="s">
        <v>27</v>
      </c>
      <c r="I1070">
        <v>30</v>
      </c>
      <c r="J1070">
        <v>25</v>
      </c>
      <c r="K1070">
        <v>10.2</v>
      </c>
      <c r="M1070">
        <v>2.2</v>
      </c>
      <c r="O1070">
        <v>14.5</v>
      </c>
      <c r="P1070">
        <v>25.5</v>
      </c>
      <c r="T1070">
        <v>3</v>
      </c>
      <c r="U1070">
        <v>21.6</v>
      </c>
      <c r="V1070">
        <v>42.7</v>
      </c>
      <c r="W1070">
        <v>2207</v>
      </c>
      <c r="X1070">
        <v>15</v>
      </c>
      <c r="Y1070" t="s">
        <v>1714</v>
      </c>
    </row>
    <row r="1071" spans="1:25">
      <c r="A1071" t="s">
        <v>1907</v>
      </c>
      <c r="B1071" s="2" t="str">
        <f>Hyperlink("https://www.diodes.com/datasheet/download/DMP3018SFV.pdf")</f>
        <v>https://www.diodes.com/datasheet/download/DMP3018SFV.pdf</v>
      </c>
      <c r="C1071" t="str">
        <f>Hyperlink("https://www.diodes.com/part/view/DMP3018SFV","DMP3018SFV")</f>
        <v>DMP3018SFV</v>
      </c>
      <c r="D1071" t="s">
        <v>661</v>
      </c>
      <c r="E1071" t="s">
        <v>27</v>
      </c>
      <c r="F1071" t="s">
        <v>28</v>
      </c>
      <c r="G1071" t="s">
        <v>75</v>
      </c>
      <c r="H1071" t="s">
        <v>27</v>
      </c>
      <c r="I1071">
        <v>30</v>
      </c>
      <c r="J1071">
        <v>25</v>
      </c>
      <c r="K1071">
        <v>11</v>
      </c>
      <c r="M1071">
        <v>1.9</v>
      </c>
      <c r="O1071">
        <v>12</v>
      </c>
      <c r="P1071">
        <v>21</v>
      </c>
      <c r="T1071">
        <v>3</v>
      </c>
      <c r="U1071" t="s">
        <v>1908</v>
      </c>
      <c r="V1071">
        <v>51</v>
      </c>
      <c r="W1071">
        <v>2147</v>
      </c>
      <c r="X1071">
        <v>15</v>
      </c>
      <c r="Y1071" t="s">
        <v>783</v>
      </c>
    </row>
    <row r="1072" spans="1:25">
      <c r="A1072" t="s">
        <v>1909</v>
      </c>
      <c r="B1072" s="2" t="str">
        <f>Hyperlink("https://www.diodes.com/datasheet/download/DMP3018SSS.pdf")</f>
        <v>https://www.diodes.com/datasheet/download/DMP3018SSS.pdf</v>
      </c>
      <c r="C1072" t="str">
        <f>Hyperlink("https://www.diodes.com/part/view/DMP3018SSS","DMP3018SSS")</f>
        <v>DMP3018SSS</v>
      </c>
      <c r="D1072" t="s">
        <v>74</v>
      </c>
      <c r="E1072" t="s">
        <v>30</v>
      </c>
      <c r="F1072" t="s">
        <v>28</v>
      </c>
      <c r="G1072" t="s">
        <v>75</v>
      </c>
      <c r="H1072" t="s">
        <v>27</v>
      </c>
      <c r="I1072">
        <v>30</v>
      </c>
      <c r="J1072">
        <v>25</v>
      </c>
      <c r="K1072">
        <v>10.5</v>
      </c>
      <c r="M1072">
        <v>1.7</v>
      </c>
      <c r="O1072">
        <v>12</v>
      </c>
      <c r="P1072">
        <v>21</v>
      </c>
      <c r="T1072">
        <v>3</v>
      </c>
      <c r="U1072" t="s">
        <v>1908</v>
      </c>
      <c r="V1072">
        <v>51</v>
      </c>
      <c r="W1072">
        <v>2714</v>
      </c>
      <c r="X1072">
        <v>15</v>
      </c>
      <c r="Y1072" t="s">
        <v>213</v>
      </c>
    </row>
    <row r="1073" spans="1:25">
      <c r="A1073" t="s">
        <v>1910</v>
      </c>
      <c r="B1073" s="2" t="str">
        <f>Hyperlink("https://www.diodes.com/datasheet/download/DMP3020LSS.pdf")</f>
        <v>https://www.diodes.com/datasheet/download/DMP3020LSS.pdf</v>
      </c>
      <c r="C1073" t="str">
        <f>Hyperlink("https://www.diodes.com/part/view/DMP3020LSS","DMP3020LSS")</f>
        <v>DMP3020LSS</v>
      </c>
      <c r="D1073" t="s">
        <v>74</v>
      </c>
      <c r="E1073" t="s">
        <v>27</v>
      </c>
      <c r="F1073" t="s">
        <v>28</v>
      </c>
      <c r="G1073" t="s">
        <v>75</v>
      </c>
      <c r="H1073" t="s">
        <v>30</v>
      </c>
      <c r="I1073">
        <v>30</v>
      </c>
      <c r="J1073">
        <v>25</v>
      </c>
      <c r="K1073">
        <v>12</v>
      </c>
      <c r="M1073">
        <v>2.5</v>
      </c>
      <c r="O1073">
        <v>14</v>
      </c>
      <c r="P1073">
        <v>25</v>
      </c>
      <c r="T1073">
        <v>2</v>
      </c>
      <c r="U1073">
        <v>15.3</v>
      </c>
      <c r="V1073">
        <v>30.7</v>
      </c>
      <c r="W1073">
        <v>1802</v>
      </c>
      <c r="Y1073" t="s">
        <v>213</v>
      </c>
    </row>
    <row r="1074" spans="1:25">
      <c r="A1074" t="s">
        <v>1911</v>
      </c>
      <c r="B1074" s="2" t="str">
        <f>Hyperlink("https://www.diodes.com/datasheet/download/DMP3021SFVW.pdf")</f>
        <v>https://www.diodes.com/datasheet/download/DMP3021SFVW.pdf</v>
      </c>
      <c r="C1074" t="str">
        <f>Hyperlink("https://www.diodes.com/part/view/DMP3021SFVW","DMP3021SFVW")</f>
        <v>DMP3021SFVW</v>
      </c>
      <c r="D1074" t="s">
        <v>1912</v>
      </c>
      <c r="E1074" t="s">
        <v>30</v>
      </c>
      <c r="F1074" t="s">
        <v>28</v>
      </c>
      <c r="G1074" t="s">
        <v>75</v>
      </c>
      <c r="H1074" t="s">
        <v>27</v>
      </c>
      <c r="I1074">
        <v>30</v>
      </c>
      <c r="J1074">
        <v>25</v>
      </c>
      <c r="K1074">
        <v>11</v>
      </c>
      <c r="L1074">
        <v>42</v>
      </c>
      <c r="M1074">
        <v>2.5</v>
      </c>
      <c r="O1074">
        <v>15</v>
      </c>
      <c r="P1074" t="s">
        <v>1890</v>
      </c>
      <c r="S1074">
        <v>1</v>
      </c>
      <c r="T1074">
        <v>2.5</v>
      </c>
      <c r="U1074" t="s">
        <v>1913</v>
      </c>
      <c r="V1074">
        <v>34</v>
      </c>
      <c r="W1074">
        <v>1799</v>
      </c>
      <c r="X1074">
        <v>15</v>
      </c>
      <c r="Y1074" t="s">
        <v>1109</v>
      </c>
    </row>
    <row r="1075" spans="1:25">
      <c r="A1075" t="s">
        <v>1914</v>
      </c>
      <c r="B1075" s="2" t="str">
        <f>Hyperlink("https://www.diodes.com/datasheet/download/DMP3021SFVWQ.pdf")</f>
        <v>https://www.diodes.com/datasheet/download/DMP3021SFVWQ.pdf</v>
      </c>
      <c r="C1075" t="str">
        <f>Hyperlink("https://www.diodes.com/part/view/DMP3021SFVWQ","DMP3021SFVWQ")</f>
        <v>DMP3021SFVWQ</v>
      </c>
      <c r="D1075" t="s">
        <v>661</v>
      </c>
      <c r="E1075" t="s">
        <v>27</v>
      </c>
      <c r="F1075" t="s">
        <v>37</v>
      </c>
      <c r="G1075" t="s">
        <v>75</v>
      </c>
      <c r="H1075" t="s">
        <v>27</v>
      </c>
      <c r="I1075">
        <v>30</v>
      </c>
      <c r="J1075">
        <v>25</v>
      </c>
      <c r="K1075">
        <v>11</v>
      </c>
      <c r="L1075">
        <v>42</v>
      </c>
      <c r="M1075">
        <v>2.5</v>
      </c>
      <c r="O1075">
        <v>15</v>
      </c>
      <c r="P1075" t="s">
        <v>1890</v>
      </c>
      <c r="S1075">
        <v>1</v>
      </c>
      <c r="T1075">
        <v>2.5</v>
      </c>
      <c r="U1075" t="s">
        <v>1913</v>
      </c>
      <c r="V1075">
        <v>34</v>
      </c>
      <c r="W1075">
        <v>1799</v>
      </c>
      <c r="X1075">
        <v>15</v>
      </c>
      <c r="Y1075" t="s">
        <v>1109</v>
      </c>
    </row>
    <row r="1076" spans="1:25">
      <c r="A1076" t="s">
        <v>1915</v>
      </c>
      <c r="B1076" s="2" t="str">
        <f>Hyperlink("https://www.diodes.com/datasheet/download/DMP3021SPDW.pdf")</f>
        <v>https://www.diodes.com/datasheet/download/DMP3021SPDW.pdf</v>
      </c>
      <c r="C1076" t="str">
        <f>Hyperlink("https://www.diodes.com/part/view/DMP3021SPDW","DMP3021SPDW")</f>
        <v>DMP3021SPDW</v>
      </c>
      <c r="D1076" t="s">
        <v>127</v>
      </c>
      <c r="E1076" t="s">
        <v>30</v>
      </c>
      <c r="F1076" t="s">
        <v>28</v>
      </c>
      <c r="G1076" t="s">
        <v>124</v>
      </c>
      <c r="H1076" t="s">
        <v>27</v>
      </c>
      <c r="I1076">
        <v>30</v>
      </c>
      <c r="J1076">
        <v>25</v>
      </c>
      <c r="K1076">
        <v>10</v>
      </c>
      <c r="L1076">
        <v>39</v>
      </c>
      <c r="M1076">
        <v>2.7</v>
      </c>
      <c r="O1076">
        <v>18</v>
      </c>
      <c r="P1076" t="s">
        <v>1916</v>
      </c>
      <c r="S1076">
        <v>1</v>
      </c>
      <c r="T1076">
        <v>2.5</v>
      </c>
      <c r="U1076" t="s">
        <v>1917</v>
      </c>
      <c r="V1076">
        <v>34</v>
      </c>
      <c r="W1076">
        <v>1799</v>
      </c>
      <c r="X1076">
        <v>15</v>
      </c>
      <c r="Y1076" t="s">
        <v>168</v>
      </c>
    </row>
    <row r="1077" spans="1:25">
      <c r="A1077" t="s">
        <v>1918</v>
      </c>
      <c r="B1077" s="2" t="str">
        <f>Hyperlink("https://www.diodes.com/datasheet/download/DMP3021SPSW.pdf")</f>
        <v>https://www.diodes.com/datasheet/download/DMP3021SPSW.pdf</v>
      </c>
      <c r="C1077" t="str">
        <f>Hyperlink("https://www.diodes.com/part/view/DMP3021SPSW","DMP3021SPSW")</f>
        <v>DMP3021SPSW</v>
      </c>
      <c r="D1077" t="s">
        <v>661</v>
      </c>
      <c r="E1077" t="s">
        <v>30</v>
      </c>
      <c r="F1077" t="s">
        <v>28</v>
      </c>
      <c r="G1077" t="s">
        <v>75</v>
      </c>
      <c r="H1077" t="s">
        <v>27</v>
      </c>
      <c r="I1077">
        <v>30</v>
      </c>
      <c r="J1077">
        <v>25</v>
      </c>
      <c r="K1077">
        <v>10.6</v>
      </c>
      <c r="L1077">
        <v>56.7</v>
      </c>
      <c r="M1077">
        <v>2.5</v>
      </c>
      <c r="O1077">
        <v>15</v>
      </c>
      <c r="P1077" t="s">
        <v>1919</v>
      </c>
      <c r="S1077">
        <v>1</v>
      </c>
      <c r="T1077">
        <v>2.5</v>
      </c>
      <c r="U1077" t="s">
        <v>1917</v>
      </c>
      <c r="V1077">
        <v>34</v>
      </c>
      <c r="W1077">
        <v>1799</v>
      </c>
      <c r="X1077">
        <v>15</v>
      </c>
      <c r="Y1077" t="s">
        <v>1546</v>
      </c>
    </row>
    <row r="1078" spans="1:25">
      <c r="A1078" t="s">
        <v>1920</v>
      </c>
      <c r="B1078" s="2" t="str">
        <f>Hyperlink("https://www.diodes.com/datasheet/download/DMP3021SSS.pdf")</f>
        <v>https://www.diodes.com/datasheet/download/DMP3021SSS.pdf</v>
      </c>
      <c r="C1078" t="str">
        <f>Hyperlink("https://www.diodes.com/part/view/DMP3021SSS","DMP3021SSS")</f>
        <v>DMP3021SSS</v>
      </c>
      <c r="D1078" t="s">
        <v>661</v>
      </c>
      <c r="E1078" t="s">
        <v>30</v>
      </c>
      <c r="F1078" t="s">
        <v>28</v>
      </c>
      <c r="G1078" t="s">
        <v>75</v>
      </c>
      <c r="H1078" t="s">
        <v>27</v>
      </c>
      <c r="I1078">
        <v>30</v>
      </c>
      <c r="J1078">
        <v>25</v>
      </c>
      <c r="K1078">
        <v>10.4</v>
      </c>
      <c r="L1078">
        <v>39</v>
      </c>
      <c r="M1078">
        <v>1</v>
      </c>
      <c r="N1078">
        <v>2.5</v>
      </c>
      <c r="O1078">
        <v>15</v>
      </c>
      <c r="P1078" t="s">
        <v>1890</v>
      </c>
      <c r="S1078">
        <v>1</v>
      </c>
      <c r="T1078">
        <v>2.5</v>
      </c>
      <c r="U1078">
        <v>17.4</v>
      </c>
      <c r="V1078">
        <v>34</v>
      </c>
      <c r="W1078">
        <v>1799</v>
      </c>
      <c r="X1078">
        <v>15</v>
      </c>
      <c r="Y1078" t="s">
        <v>213</v>
      </c>
    </row>
    <row r="1079" spans="1:25">
      <c r="A1079" t="s">
        <v>1921</v>
      </c>
      <c r="B1079" s="2" t="str">
        <f>Hyperlink("https://www.diodes.com/datasheet/download/DMP3025SFDF.pdf")</f>
        <v>https://www.diodes.com/datasheet/download/DMP3025SFDF.pdf</v>
      </c>
      <c r="C1079" t="str">
        <f>Hyperlink("https://www.diodes.com/part/view/DMP3025SFDF","DMP3025SFDF")</f>
        <v>DMP3025SFDF</v>
      </c>
      <c r="D1079" t="s">
        <v>1645</v>
      </c>
      <c r="E1079" t="s">
        <v>30</v>
      </c>
      <c r="F1079" t="s">
        <v>28</v>
      </c>
      <c r="G1079" t="s">
        <v>75</v>
      </c>
      <c r="H1079" t="s">
        <v>27</v>
      </c>
      <c r="I1079">
        <v>30</v>
      </c>
      <c r="J1079">
        <v>25</v>
      </c>
      <c r="K1079">
        <v>8.6</v>
      </c>
      <c r="M1079">
        <v>2.1</v>
      </c>
      <c r="O1079">
        <v>19</v>
      </c>
      <c r="P1079" t="s">
        <v>1922</v>
      </c>
      <c r="S1079">
        <v>1.2</v>
      </c>
      <c r="T1079">
        <v>2.6</v>
      </c>
      <c r="U1079">
        <v>11</v>
      </c>
      <c r="V1079">
        <v>20</v>
      </c>
      <c r="W1079">
        <v>1031</v>
      </c>
      <c r="X1079">
        <v>15</v>
      </c>
      <c r="Y1079" t="s">
        <v>780</v>
      </c>
    </row>
    <row r="1080" spans="1:25">
      <c r="A1080" t="s">
        <v>1923</v>
      </c>
      <c r="B1080" s="2" t="str">
        <f>Hyperlink("https://www.diodes.com/datasheet/download/DMP3026SFDE.pdf")</f>
        <v>https://www.diodes.com/datasheet/download/DMP3026SFDE.pdf</v>
      </c>
      <c r="C1080" t="str">
        <f>Hyperlink("https://www.diodes.com/part/view/DMP3026SFDE","DMP3026SFDE")</f>
        <v>DMP3026SFDE</v>
      </c>
      <c r="D1080" t="s">
        <v>74</v>
      </c>
      <c r="E1080" t="s">
        <v>27</v>
      </c>
      <c r="F1080" t="s">
        <v>28</v>
      </c>
      <c r="G1080" t="s">
        <v>75</v>
      </c>
      <c r="H1080" t="s">
        <v>27</v>
      </c>
      <c r="I1080">
        <v>30</v>
      </c>
      <c r="J1080">
        <v>25</v>
      </c>
      <c r="K1080">
        <v>8.7</v>
      </c>
      <c r="M1080">
        <v>2</v>
      </c>
      <c r="O1080">
        <v>19</v>
      </c>
      <c r="P1080">
        <v>45</v>
      </c>
      <c r="T1080">
        <v>3</v>
      </c>
      <c r="U1080">
        <v>9.2</v>
      </c>
      <c r="V1080">
        <v>19.6</v>
      </c>
      <c r="W1080">
        <v>1204</v>
      </c>
      <c r="X1080">
        <v>15</v>
      </c>
      <c r="Y1080" t="s">
        <v>778</v>
      </c>
    </row>
    <row r="1081" spans="1:25">
      <c r="A1081" t="s">
        <v>1924</v>
      </c>
      <c r="B1081" s="2" t="str">
        <f>Hyperlink("https://www.diodes.com/datasheet/download/DMP3026SFDF.pdf")</f>
        <v>https://www.diodes.com/datasheet/download/DMP3026SFDF.pdf</v>
      </c>
      <c r="C1081" t="str">
        <f>Hyperlink("https://www.diodes.com/part/view/DMP3026SFDF","DMP3026SFDF")</f>
        <v>DMP3026SFDF</v>
      </c>
      <c r="D1081" t="s">
        <v>74</v>
      </c>
      <c r="E1081" t="s">
        <v>27</v>
      </c>
      <c r="F1081" t="s">
        <v>28</v>
      </c>
      <c r="G1081" t="s">
        <v>75</v>
      </c>
      <c r="H1081" t="s">
        <v>27</v>
      </c>
      <c r="I1081">
        <v>30</v>
      </c>
      <c r="J1081">
        <v>25</v>
      </c>
      <c r="K1081">
        <v>8.6</v>
      </c>
      <c r="M1081">
        <v>2</v>
      </c>
      <c r="O1081">
        <v>19</v>
      </c>
      <c r="P1081">
        <v>45</v>
      </c>
      <c r="T1081">
        <v>3</v>
      </c>
      <c r="U1081">
        <v>9.2</v>
      </c>
      <c r="V1081">
        <v>19.6</v>
      </c>
      <c r="W1081">
        <v>1204</v>
      </c>
      <c r="X1081">
        <v>15</v>
      </c>
      <c r="Y1081" t="s">
        <v>780</v>
      </c>
    </row>
    <row r="1082" spans="1:25">
      <c r="A1082" t="s">
        <v>1925</v>
      </c>
      <c r="B1082" s="2" t="str">
        <f>Hyperlink("https://www.diodes.com/datasheet/download/DMP3027LFDE.pdf")</f>
        <v>https://www.diodes.com/datasheet/download/DMP3027LFDE.pdf</v>
      </c>
      <c r="C1082" t="str">
        <f>Hyperlink("https://www.diodes.com/part/view/DMP3027LFDE","DMP3027LFDE")</f>
        <v>DMP3027LFDE</v>
      </c>
      <c r="D1082" t="s">
        <v>1900</v>
      </c>
      <c r="E1082" t="s">
        <v>30</v>
      </c>
      <c r="F1082" t="s">
        <v>28</v>
      </c>
      <c r="G1082" t="s">
        <v>75</v>
      </c>
      <c r="H1082" t="s">
        <v>30</v>
      </c>
      <c r="I1082">
        <v>30</v>
      </c>
      <c r="J1082">
        <v>20</v>
      </c>
      <c r="K1082">
        <v>8.5</v>
      </c>
      <c r="M1082">
        <v>2.6</v>
      </c>
      <c r="O1082">
        <v>25</v>
      </c>
      <c r="P1082">
        <v>38</v>
      </c>
      <c r="S1082">
        <v>1.2</v>
      </c>
      <c r="T1082">
        <v>2.4</v>
      </c>
      <c r="U1082">
        <v>11.2</v>
      </c>
      <c r="V1082">
        <v>21.8</v>
      </c>
      <c r="W1082">
        <v>1142</v>
      </c>
      <c r="X1082">
        <v>15</v>
      </c>
      <c r="Y1082" t="s">
        <v>778</v>
      </c>
    </row>
    <row r="1083" spans="1:25">
      <c r="A1083" t="s">
        <v>1926</v>
      </c>
      <c r="B1083" s="2" t="str">
        <f>Hyperlink("https://www.diodes.com/datasheet/download/DMP3027LFDEQ.pdf")</f>
        <v>https://www.diodes.com/datasheet/download/DMP3027LFDEQ.pdf</v>
      </c>
      <c r="C1083" t="str">
        <f>Hyperlink("https://www.diodes.com/part/view/DMP3027LFDEQ","DMP3027LFDEQ")</f>
        <v>DMP3027LFDEQ</v>
      </c>
      <c r="D1083" t="s">
        <v>1900</v>
      </c>
      <c r="E1083" t="s">
        <v>27</v>
      </c>
      <c r="F1083" t="s">
        <v>37</v>
      </c>
      <c r="G1083" t="s">
        <v>75</v>
      </c>
      <c r="H1083" t="s">
        <v>30</v>
      </c>
      <c r="I1083">
        <v>30</v>
      </c>
      <c r="J1083">
        <v>20</v>
      </c>
      <c r="K1083">
        <v>8.5</v>
      </c>
      <c r="M1083">
        <v>2.6</v>
      </c>
      <c r="O1083">
        <v>25</v>
      </c>
      <c r="P1083">
        <v>38</v>
      </c>
      <c r="S1083">
        <v>1.2</v>
      </c>
      <c r="T1083">
        <v>2.4</v>
      </c>
      <c r="U1083">
        <v>11.2</v>
      </c>
      <c r="V1083">
        <v>21.8</v>
      </c>
      <c r="W1083">
        <v>1142</v>
      </c>
      <c r="X1083">
        <v>15</v>
      </c>
      <c r="Y1083" t="s">
        <v>778</v>
      </c>
    </row>
    <row r="1084" spans="1:25">
      <c r="A1084" t="s">
        <v>1927</v>
      </c>
      <c r="B1084" s="2" t="str">
        <f>Hyperlink("https://www.diodes.com/datasheet/download/DMP3028LFDE.pdf")</f>
        <v>https://www.diodes.com/datasheet/download/DMP3028LFDE.pdf</v>
      </c>
      <c r="C1084" t="str">
        <f>Hyperlink("https://www.diodes.com/part/view/DMP3028LFDE","DMP3028LFDE")</f>
        <v>DMP3028LFDE</v>
      </c>
      <c r="D1084" t="s">
        <v>74</v>
      </c>
      <c r="E1084" t="s">
        <v>27</v>
      </c>
      <c r="F1084" t="s">
        <v>28</v>
      </c>
      <c r="G1084" t="s">
        <v>75</v>
      </c>
      <c r="H1084" t="s">
        <v>30</v>
      </c>
      <c r="I1084">
        <v>30</v>
      </c>
      <c r="J1084">
        <v>20</v>
      </c>
      <c r="K1084">
        <v>6.8</v>
      </c>
      <c r="M1084">
        <v>2.03</v>
      </c>
      <c r="O1084">
        <v>25</v>
      </c>
      <c r="P1084">
        <v>38</v>
      </c>
      <c r="T1084">
        <v>2.4</v>
      </c>
      <c r="U1084">
        <v>10.9</v>
      </c>
      <c r="V1084">
        <v>22</v>
      </c>
      <c r="W1084">
        <v>1241</v>
      </c>
      <c r="X1084">
        <v>15</v>
      </c>
      <c r="Y1084" t="s">
        <v>778</v>
      </c>
    </row>
    <row r="1085" spans="1:25">
      <c r="A1085" t="s">
        <v>1928</v>
      </c>
      <c r="B1085" s="2" t="str">
        <f>Hyperlink("https://www.diodes.com/datasheet/download/DMP3028LFDEQ.pdf")</f>
        <v>https://www.diodes.com/datasheet/download/DMP3028LFDEQ.pdf</v>
      </c>
      <c r="C1085" t="str">
        <f>Hyperlink("https://www.diodes.com/part/view/DMP3028LFDEQ","DMP3028LFDEQ")</f>
        <v>DMP3028LFDEQ</v>
      </c>
      <c r="D1085" t="s">
        <v>661</v>
      </c>
      <c r="E1085" t="s">
        <v>27</v>
      </c>
      <c r="F1085" t="s">
        <v>37</v>
      </c>
      <c r="G1085" t="s">
        <v>75</v>
      </c>
      <c r="H1085" t="s">
        <v>30</v>
      </c>
      <c r="I1085">
        <v>30</v>
      </c>
      <c r="J1085">
        <v>20</v>
      </c>
      <c r="K1085">
        <v>6.8</v>
      </c>
      <c r="M1085">
        <v>2.03</v>
      </c>
      <c r="O1085">
        <v>25</v>
      </c>
      <c r="P1085">
        <v>38</v>
      </c>
      <c r="T1085">
        <v>2.4</v>
      </c>
      <c r="U1085">
        <v>10.9</v>
      </c>
      <c r="V1085">
        <v>22</v>
      </c>
      <c r="W1085">
        <v>1241</v>
      </c>
      <c r="X1085">
        <v>15</v>
      </c>
      <c r="Y1085" t="s">
        <v>778</v>
      </c>
    </row>
    <row r="1086" spans="1:25">
      <c r="A1086" t="s">
        <v>1929</v>
      </c>
      <c r="B1086" s="2" t="str">
        <f>Hyperlink("https://www.diodes.com/datasheet/download/DMP3028LK3.pdf")</f>
        <v>https://www.diodes.com/datasheet/download/DMP3028LK3.pdf</v>
      </c>
      <c r="C1086" t="str">
        <f>Hyperlink("https://www.diodes.com/part/view/DMP3028LK3","DMP3028LK3")</f>
        <v>DMP3028LK3</v>
      </c>
      <c r="D1086" t="s">
        <v>74</v>
      </c>
      <c r="E1086" t="s">
        <v>27</v>
      </c>
      <c r="F1086" t="s">
        <v>28</v>
      </c>
      <c r="G1086" t="s">
        <v>75</v>
      </c>
      <c r="H1086" t="s">
        <v>30</v>
      </c>
      <c r="I1086">
        <v>30</v>
      </c>
      <c r="J1086">
        <v>20</v>
      </c>
      <c r="L1086">
        <v>27</v>
      </c>
      <c r="M1086">
        <v>2.8</v>
      </c>
      <c r="O1086">
        <v>25</v>
      </c>
      <c r="P1086">
        <v>38</v>
      </c>
      <c r="T1086">
        <v>2.4</v>
      </c>
      <c r="U1086">
        <v>11</v>
      </c>
      <c r="V1086">
        <v>22</v>
      </c>
      <c r="W1086">
        <v>1241</v>
      </c>
      <c r="X1086">
        <v>15</v>
      </c>
      <c r="Y1086" t="s">
        <v>681</v>
      </c>
    </row>
    <row r="1087" spans="1:25">
      <c r="A1087" t="s">
        <v>1930</v>
      </c>
      <c r="B1087" s="2" t="str">
        <f>Hyperlink("https://www.diodes.com/datasheet/download/DMP3028LK3Q.pdf")</f>
        <v>https://www.diodes.com/datasheet/download/DMP3028LK3Q.pdf</v>
      </c>
      <c r="C1087" t="str">
        <f>Hyperlink("https://www.diodes.com/part/view/DMP3028LK3Q","DMP3028LK3Q")</f>
        <v>DMP3028LK3Q</v>
      </c>
      <c r="D1087" t="s">
        <v>661</v>
      </c>
      <c r="E1087" t="s">
        <v>27</v>
      </c>
      <c r="F1087" t="s">
        <v>37</v>
      </c>
      <c r="G1087" t="s">
        <v>75</v>
      </c>
      <c r="H1087" t="s">
        <v>30</v>
      </c>
      <c r="I1087">
        <v>30</v>
      </c>
      <c r="J1087">
        <v>20</v>
      </c>
      <c r="L1087">
        <v>27</v>
      </c>
      <c r="M1087">
        <v>2.8</v>
      </c>
      <c r="O1087">
        <v>25</v>
      </c>
      <c r="P1087">
        <v>38</v>
      </c>
      <c r="T1087">
        <v>2.4</v>
      </c>
      <c r="U1087">
        <v>11</v>
      </c>
      <c r="V1087">
        <v>22</v>
      </c>
      <c r="W1087">
        <v>1241</v>
      </c>
      <c r="X1087">
        <v>15</v>
      </c>
      <c r="Y1087" t="s">
        <v>681</v>
      </c>
    </row>
    <row r="1088" spans="1:25">
      <c r="A1088" t="s">
        <v>1931</v>
      </c>
      <c r="B1088" s="2" t="str">
        <f>Hyperlink("https://www.diodes.com/datasheet/download/DMP3028LPSQ.pdf")</f>
        <v>https://www.diodes.com/datasheet/download/DMP3028LPSQ.pdf</v>
      </c>
      <c r="C1088" t="str">
        <f>Hyperlink("https://www.diodes.com/part/view/DMP3028LPSQ","DMP3028LPSQ")</f>
        <v>DMP3028LPSQ</v>
      </c>
      <c r="D1088" t="s">
        <v>74</v>
      </c>
      <c r="E1088" t="s">
        <v>27</v>
      </c>
      <c r="F1088" t="s">
        <v>37</v>
      </c>
      <c r="G1088" t="s">
        <v>75</v>
      </c>
      <c r="H1088" t="s">
        <v>30</v>
      </c>
      <c r="I1088">
        <v>30</v>
      </c>
      <c r="J1088">
        <v>20</v>
      </c>
      <c r="L1088">
        <v>21</v>
      </c>
      <c r="M1088">
        <v>2.12</v>
      </c>
      <c r="N1088">
        <v>35</v>
      </c>
      <c r="O1088">
        <v>28</v>
      </c>
      <c r="P1088">
        <v>38</v>
      </c>
      <c r="T1088">
        <v>2.4</v>
      </c>
      <c r="U1088">
        <v>11</v>
      </c>
      <c r="V1088">
        <v>22</v>
      </c>
      <c r="W1088">
        <v>1372</v>
      </c>
      <c r="X1088">
        <v>15</v>
      </c>
      <c r="Y1088" t="s">
        <v>907</v>
      </c>
    </row>
    <row r="1089" spans="1:25">
      <c r="A1089" t="s">
        <v>1932</v>
      </c>
      <c r="B1089" s="2" t="str">
        <f>Hyperlink("https://www.diodes.com/datasheet/download/DMP3028LPSW.pdf")</f>
        <v>https://www.diodes.com/datasheet/download/DMP3028LPSW.pdf</v>
      </c>
      <c r="C1089" t="str">
        <f>Hyperlink("https://www.diodes.com/part/view/DMP3028LPSW","DMP3028LPSW")</f>
        <v>DMP3028LPSW</v>
      </c>
      <c r="D1089" t="s">
        <v>74</v>
      </c>
      <c r="E1089" t="s">
        <v>30</v>
      </c>
      <c r="F1089" t="s">
        <v>28</v>
      </c>
      <c r="G1089" t="s">
        <v>75</v>
      </c>
      <c r="H1089" t="s">
        <v>30</v>
      </c>
      <c r="I1089">
        <v>30</v>
      </c>
      <c r="J1089">
        <v>20</v>
      </c>
      <c r="L1089">
        <v>21</v>
      </c>
      <c r="M1089">
        <v>1.28</v>
      </c>
      <c r="N1089">
        <v>2.1</v>
      </c>
      <c r="O1089">
        <v>28</v>
      </c>
      <c r="P1089">
        <v>38</v>
      </c>
      <c r="T1089">
        <v>2.4</v>
      </c>
      <c r="U1089">
        <v>11</v>
      </c>
      <c r="V1089">
        <v>22</v>
      </c>
      <c r="W1089">
        <v>1421</v>
      </c>
      <c r="X1089">
        <v>15</v>
      </c>
      <c r="Y1089" t="s">
        <v>1546</v>
      </c>
    </row>
    <row r="1090" spans="1:25">
      <c r="A1090" t="s">
        <v>1933</v>
      </c>
      <c r="B1090" s="2" t="str">
        <f>Hyperlink("https://www.diodes.com/datasheet/download/DMP3028LSD.pdf")</f>
        <v>https://www.diodes.com/datasheet/download/DMP3028LSD.pdf</v>
      </c>
      <c r="C1090" t="str">
        <f>Hyperlink("https://www.diodes.com/part/view/DMP3028LSD","DMP3028LSD")</f>
        <v>DMP3028LSD</v>
      </c>
      <c r="D1090" t="s">
        <v>123</v>
      </c>
      <c r="E1090" t="s">
        <v>27</v>
      </c>
      <c r="F1090" t="s">
        <v>28</v>
      </c>
      <c r="G1090" t="s">
        <v>124</v>
      </c>
      <c r="H1090" t="s">
        <v>30</v>
      </c>
      <c r="I1090">
        <v>30</v>
      </c>
      <c r="J1090">
        <v>20</v>
      </c>
      <c r="K1090">
        <v>6</v>
      </c>
      <c r="M1090">
        <v>1.7</v>
      </c>
      <c r="O1090">
        <v>25</v>
      </c>
      <c r="P1090">
        <v>38</v>
      </c>
      <c r="T1090">
        <v>3</v>
      </c>
      <c r="U1090">
        <v>10.9</v>
      </c>
      <c r="V1090">
        <v>22</v>
      </c>
      <c r="W1090">
        <v>1241</v>
      </c>
      <c r="Y1090" t="s">
        <v>213</v>
      </c>
    </row>
    <row r="1091" spans="1:25">
      <c r="A1091" t="s">
        <v>1934</v>
      </c>
      <c r="B1091" s="2" t="str">
        <f>Hyperlink("https://www.diodes.com/datasheet/download/DMP3028LSDQ.pdf")</f>
        <v>https://www.diodes.com/datasheet/download/DMP3028LSDQ.pdf</v>
      </c>
      <c r="C1091" t="str">
        <f>Hyperlink("https://www.diodes.com/part/view/DMP3028LSDQ","DMP3028LSDQ")</f>
        <v>DMP3028LSDQ</v>
      </c>
      <c r="D1091" t="s">
        <v>1935</v>
      </c>
      <c r="E1091" t="s">
        <v>27</v>
      </c>
      <c r="F1091" t="s">
        <v>37</v>
      </c>
      <c r="G1091" t="s">
        <v>124</v>
      </c>
      <c r="H1091" t="s">
        <v>30</v>
      </c>
      <c r="I1091">
        <v>30</v>
      </c>
      <c r="J1091">
        <v>20</v>
      </c>
      <c r="K1091">
        <v>6</v>
      </c>
      <c r="L1091">
        <v>7.4</v>
      </c>
      <c r="N1091">
        <v>14.5</v>
      </c>
      <c r="O1091">
        <v>28</v>
      </c>
      <c r="P1091">
        <v>45</v>
      </c>
      <c r="S1091">
        <v>1</v>
      </c>
      <c r="T1091">
        <v>3</v>
      </c>
      <c r="U1091">
        <v>11</v>
      </c>
      <c r="V1091">
        <v>22</v>
      </c>
      <c r="W1091">
        <v>1241</v>
      </c>
      <c r="X1091">
        <v>15</v>
      </c>
      <c r="Y1091" t="s">
        <v>213</v>
      </c>
    </row>
    <row r="1092" spans="1:25">
      <c r="A1092" t="s">
        <v>1936</v>
      </c>
      <c r="B1092" s="2" t="str">
        <f>Hyperlink("https://www.diodes.com/datasheet/download/DMP3030SN.pdf")</f>
        <v>https://www.diodes.com/datasheet/download/DMP3030SN.pdf</v>
      </c>
      <c r="C1092" t="str">
        <f>Hyperlink("https://www.diodes.com/part/view/DMP3030SN","DMP3030SN")</f>
        <v>DMP3030SN</v>
      </c>
      <c r="D1092" t="s">
        <v>1937</v>
      </c>
      <c r="E1092" t="s">
        <v>27</v>
      </c>
      <c r="F1092" t="s">
        <v>28</v>
      </c>
      <c r="G1092" t="s">
        <v>75</v>
      </c>
      <c r="H1092" t="s">
        <v>27</v>
      </c>
      <c r="I1092">
        <v>30</v>
      </c>
      <c r="J1092">
        <v>20</v>
      </c>
      <c r="K1092">
        <v>0.7</v>
      </c>
      <c r="M1092">
        <v>0.5</v>
      </c>
      <c r="O1092">
        <v>250</v>
      </c>
      <c r="P1092">
        <v>450</v>
      </c>
      <c r="T1092">
        <v>3</v>
      </c>
      <c r="W1092">
        <v>160</v>
      </c>
      <c r="Y1092" t="s">
        <v>98</v>
      </c>
    </row>
    <row r="1093" spans="1:25">
      <c r="A1093" t="s">
        <v>1938</v>
      </c>
      <c r="B1093" s="2" t="str">
        <f>Hyperlink("https://www.diodes.com/datasheet/download/DMP3035LSS.pdf")</f>
        <v>https://www.diodes.com/datasheet/download/DMP3035LSS.pdf</v>
      </c>
      <c r="C1093" t="str">
        <f>Hyperlink("https://www.diodes.com/part/view/DMP3035LSS","DMP3035LSS")</f>
        <v>DMP3035LSS</v>
      </c>
      <c r="D1093" t="s">
        <v>74</v>
      </c>
      <c r="E1093" t="s">
        <v>27</v>
      </c>
      <c r="F1093" t="s">
        <v>28</v>
      </c>
      <c r="G1093" t="s">
        <v>75</v>
      </c>
      <c r="H1093" t="s">
        <v>30</v>
      </c>
      <c r="I1093">
        <v>30</v>
      </c>
      <c r="J1093">
        <v>25</v>
      </c>
      <c r="K1093">
        <v>10</v>
      </c>
      <c r="M1093">
        <v>2</v>
      </c>
      <c r="O1093">
        <v>18</v>
      </c>
      <c r="P1093">
        <v>36</v>
      </c>
      <c r="T1093">
        <v>2</v>
      </c>
      <c r="U1093">
        <v>15.3</v>
      </c>
      <c r="V1093">
        <v>30.7</v>
      </c>
      <c r="Y1093" t="s">
        <v>213</v>
      </c>
    </row>
    <row r="1094" spans="1:25">
      <c r="A1094" t="s">
        <v>1939</v>
      </c>
      <c r="B1094" s="2" t="str">
        <f>Hyperlink("https://www.diodes.com/datasheet/download/DMP3036SFG.pdf")</f>
        <v>https://www.diodes.com/datasheet/download/DMP3036SFG.pdf</v>
      </c>
      <c r="C1094" t="str">
        <f>Hyperlink("https://www.diodes.com/part/view/DMP3036SFG","DMP3036SFG")</f>
        <v>DMP3036SFG</v>
      </c>
      <c r="D1094" t="s">
        <v>661</v>
      </c>
      <c r="E1094" t="s">
        <v>27</v>
      </c>
      <c r="F1094" t="s">
        <v>28</v>
      </c>
      <c r="G1094" t="s">
        <v>75</v>
      </c>
      <c r="H1094" t="s">
        <v>30</v>
      </c>
      <c r="I1094">
        <v>30</v>
      </c>
      <c r="J1094">
        <v>25</v>
      </c>
      <c r="K1094">
        <v>8.7</v>
      </c>
      <c r="M1094">
        <v>2.3</v>
      </c>
      <c r="O1094">
        <v>20</v>
      </c>
      <c r="P1094" t="s">
        <v>1940</v>
      </c>
      <c r="T1094">
        <v>2.5</v>
      </c>
      <c r="U1094" t="s">
        <v>1941</v>
      </c>
      <c r="V1094">
        <v>16.5</v>
      </c>
      <c r="W1094">
        <v>1931</v>
      </c>
      <c r="X1094">
        <v>15</v>
      </c>
      <c r="Y1094" t="s">
        <v>718</v>
      </c>
    </row>
    <row r="1095" spans="1:25">
      <c r="A1095" t="s">
        <v>1942</v>
      </c>
      <c r="B1095" s="2" t="str">
        <f>Hyperlink("https://www.diodes.com/datasheet/download/DMP3036SFV.pdf")</f>
        <v>https://www.diodes.com/datasheet/download/DMP3036SFV.pdf</v>
      </c>
      <c r="C1095" t="str">
        <f>Hyperlink("https://www.diodes.com/part/view/DMP3036SFV","DMP3036SFV")</f>
        <v>DMP3036SFV</v>
      </c>
      <c r="D1095" t="s">
        <v>661</v>
      </c>
      <c r="E1095" t="s">
        <v>30</v>
      </c>
      <c r="F1095" t="s">
        <v>28</v>
      </c>
      <c r="G1095" t="s">
        <v>75</v>
      </c>
      <c r="H1095" t="s">
        <v>30</v>
      </c>
      <c r="I1095">
        <v>30</v>
      </c>
      <c r="J1095">
        <v>25</v>
      </c>
      <c r="K1095">
        <v>8.7</v>
      </c>
      <c r="M1095">
        <v>2.3</v>
      </c>
      <c r="O1095">
        <v>20</v>
      </c>
      <c r="P1095" t="s">
        <v>1940</v>
      </c>
      <c r="T1095">
        <v>2.5</v>
      </c>
      <c r="U1095" t="s">
        <v>1941</v>
      </c>
      <c r="V1095">
        <v>16.5</v>
      </c>
      <c r="W1095">
        <v>1931</v>
      </c>
      <c r="X1095">
        <v>15</v>
      </c>
      <c r="Y1095" t="s">
        <v>783</v>
      </c>
    </row>
    <row r="1096" spans="1:25">
      <c r="A1096" t="s">
        <v>1943</v>
      </c>
      <c r="B1096" s="2" t="str">
        <f>Hyperlink("https://www.diodes.com/datasheet/download/DMP3036SFVQ.pdf")</f>
        <v>https://www.diodes.com/datasheet/download/DMP3036SFVQ.pdf</v>
      </c>
      <c r="C1096" t="str">
        <f>Hyperlink("https://www.diodes.com/part/view/DMP3036SFVQ","DMP3036SFVQ")</f>
        <v>DMP3036SFVQ</v>
      </c>
      <c r="D1096" t="s">
        <v>661</v>
      </c>
      <c r="E1096" t="s">
        <v>27</v>
      </c>
      <c r="F1096" t="s">
        <v>37</v>
      </c>
      <c r="G1096" t="s">
        <v>75</v>
      </c>
      <c r="H1096" t="s">
        <v>30</v>
      </c>
      <c r="I1096">
        <v>30</v>
      </c>
      <c r="J1096">
        <v>25</v>
      </c>
      <c r="K1096">
        <v>8.7</v>
      </c>
      <c r="L1096">
        <v>30</v>
      </c>
      <c r="M1096">
        <v>2.3</v>
      </c>
      <c r="O1096">
        <v>20</v>
      </c>
      <c r="P1096" t="s">
        <v>1940</v>
      </c>
      <c r="S1096">
        <v>1</v>
      </c>
      <c r="T1096">
        <v>2.5</v>
      </c>
      <c r="U1096" t="s">
        <v>1941</v>
      </c>
      <c r="V1096">
        <v>16.5</v>
      </c>
      <c r="W1096">
        <v>1931</v>
      </c>
      <c r="X1096">
        <v>15</v>
      </c>
      <c r="Y1096" t="s">
        <v>783</v>
      </c>
    </row>
    <row r="1097" spans="1:25">
      <c r="A1097" t="s">
        <v>1944</v>
      </c>
      <c r="B1097" s="2" t="str">
        <f>Hyperlink("https://www.diodes.com/datasheet/download/DMP3036SSD.pdf")</f>
        <v>https://www.diodes.com/datasheet/download/DMP3036SSD.pdf</v>
      </c>
      <c r="C1097" t="str">
        <f>Hyperlink("https://www.diodes.com/part/view/DMP3036SSD","DMP3036SSD")</f>
        <v>DMP3036SSD</v>
      </c>
      <c r="D1097" t="s">
        <v>123</v>
      </c>
      <c r="E1097" t="s">
        <v>27</v>
      </c>
      <c r="F1097" t="s">
        <v>28</v>
      </c>
      <c r="G1097" t="s">
        <v>124</v>
      </c>
      <c r="H1097" t="s">
        <v>30</v>
      </c>
      <c r="I1097">
        <v>30</v>
      </c>
      <c r="J1097">
        <v>25</v>
      </c>
      <c r="K1097">
        <v>10.6</v>
      </c>
      <c r="M1097">
        <v>1.7</v>
      </c>
      <c r="O1097">
        <v>20</v>
      </c>
      <c r="P1097" t="s">
        <v>1940</v>
      </c>
      <c r="T1097">
        <v>3</v>
      </c>
      <c r="U1097" t="s">
        <v>1941</v>
      </c>
      <c r="V1097">
        <v>16.5</v>
      </c>
      <c r="W1097">
        <v>1633</v>
      </c>
      <c r="X1097">
        <v>15</v>
      </c>
      <c r="Y1097" t="s">
        <v>213</v>
      </c>
    </row>
    <row r="1098" spans="1:25">
      <c r="A1098" t="s">
        <v>1945</v>
      </c>
      <c r="B1098" s="2" t="str">
        <f>Hyperlink("https://www.diodes.com/datasheet/download/DMP3036SSS.pdf")</f>
        <v>https://www.diodes.com/datasheet/download/DMP3036SSS.pdf</v>
      </c>
      <c r="C1098" t="str">
        <f>Hyperlink("https://www.diodes.com/part/view/DMP3036SSS","DMP3036SSS")</f>
        <v>DMP3036SSS</v>
      </c>
      <c r="D1098" t="s">
        <v>74</v>
      </c>
      <c r="E1098" t="s">
        <v>27</v>
      </c>
      <c r="F1098" t="s">
        <v>28</v>
      </c>
      <c r="G1098" t="s">
        <v>75</v>
      </c>
      <c r="H1098" t="s">
        <v>30</v>
      </c>
      <c r="I1098">
        <v>30</v>
      </c>
      <c r="J1098">
        <v>25</v>
      </c>
      <c r="K1098">
        <v>11.4</v>
      </c>
      <c r="M1098">
        <v>1.9</v>
      </c>
      <c r="O1098">
        <v>20</v>
      </c>
      <c r="P1098" t="s">
        <v>1940</v>
      </c>
      <c r="T1098">
        <v>3</v>
      </c>
      <c r="U1098" t="s">
        <v>1941</v>
      </c>
      <c r="V1098">
        <v>16.5</v>
      </c>
      <c r="W1098">
        <v>1633</v>
      </c>
      <c r="X1098">
        <v>15</v>
      </c>
      <c r="Y1098" t="s">
        <v>213</v>
      </c>
    </row>
    <row r="1099" spans="1:25">
      <c r="A1099" t="s">
        <v>1946</v>
      </c>
      <c r="B1099" s="2" t="str">
        <f>Hyperlink("https://www.diodes.com/datasheet/download/DMP3037LSS.pdf")</f>
        <v>https://www.diodes.com/datasheet/download/DMP3037LSS.pdf</v>
      </c>
      <c r="C1099" t="str">
        <f>Hyperlink("https://www.diodes.com/part/view/DMP3037LSS","DMP3037LSS")</f>
        <v>DMP3037LSS</v>
      </c>
      <c r="D1099" t="s">
        <v>74</v>
      </c>
      <c r="E1099" t="s">
        <v>27</v>
      </c>
      <c r="F1099" t="s">
        <v>28</v>
      </c>
      <c r="G1099" t="s">
        <v>75</v>
      </c>
      <c r="H1099" t="s">
        <v>30</v>
      </c>
      <c r="I1099">
        <v>30</v>
      </c>
      <c r="J1099">
        <v>20</v>
      </c>
      <c r="K1099">
        <v>5.8</v>
      </c>
      <c r="M1099">
        <v>1.6</v>
      </c>
      <c r="O1099">
        <v>32</v>
      </c>
      <c r="P1099">
        <v>50</v>
      </c>
      <c r="T1099">
        <v>2.4</v>
      </c>
      <c r="U1099">
        <v>9.7</v>
      </c>
      <c r="V1099">
        <v>19.3</v>
      </c>
      <c r="W1099">
        <v>931</v>
      </c>
      <c r="Y1099" t="s">
        <v>213</v>
      </c>
    </row>
    <row r="1100" spans="1:25">
      <c r="A1100" t="s">
        <v>1947</v>
      </c>
      <c r="B1100" s="2" t="str">
        <f>Hyperlink("https://www.diodes.com/datasheet/download/DMP3037LSSQ.pdf")</f>
        <v>https://www.diodes.com/datasheet/download/DMP3037LSSQ.pdf</v>
      </c>
      <c r="C1100" t="str">
        <f>Hyperlink("https://www.diodes.com/part/view/DMP3037LSSQ","DMP3037LSSQ")</f>
        <v>DMP3037LSSQ</v>
      </c>
      <c r="D1100" t="s">
        <v>74</v>
      </c>
      <c r="E1100" t="s">
        <v>27</v>
      </c>
      <c r="F1100" t="s">
        <v>37</v>
      </c>
      <c r="G1100" t="s">
        <v>75</v>
      </c>
      <c r="H1100" t="s">
        <v>30</v>
      </c>
      <c r="I1100">
        <v>30</v>
      </c>
      <c r="J1100">
        <v>20</v>
      </c>
      <c r="K1100">
        <v>5.8</v>
      </c>
      <c r="M1100">
        <v>1.6</v>
      </c>
      <c r="O1100">
        <v>32</v>
      </c>
      <c r="P1100">
        <v>50</v>
      </c>
      <c r="T1100">
        <v>2.4</v>
      </c>
      <c r="U1100">
        <v>8.2</v>
      </c>
      <c r="V1100">
        <v>17.3</v>
      </c>
      <c r="W1100">
        <v>969</v>
      </c>
      <c r="X1100">
        <v>15</v>
      </c>
      <c r="Y1100" t="s">
        <v>213</v>
      </c>
    </row>
    <row r="1101" spans="1:25">
      <c r="A1101" t="s">
        <v>1948</v>
      </c>
      <c r="B1101" s="2" t="str">
        <f>Hyperlink("https://www.diodes.com/datasheet/download/DMP3045LFVW.pdf")</f>
        <v>https://www.diodes.com/datasheet/download/DMP3045LFVW.pdf</v>
      </c>
      <c r="C1101" t="str">
        <f>Hyperlink("https://www.diodes.com/part/view/DMP3045LFVW","DMP3045LFVW")</f>
        <v>DMP3045LFVW</v>
      </c>
      <c r="D1101" t="s">
        <v>661</v>
      </c>
      <c r="E1101" t="s">
        <v>30</v>
      </c>
      <c r="F1101" t="s">
        <v>28</v>
      </c>
      <c r="G1101" t="s">
        <v>75</v>
      </c>
      <c r="H1101" t="s">
        <v>27</v>
      </c>
      <c r="I1101">
        <v>30</v>
      </c>
      <c r="J1101">
        <v>20</v>
      </c>
      <c r="K1101">
        <v>5.7</v>
      </c>
      <c r="L1101">
        <v>19.9</v>
      </c>
      <c r="M1101">
        <v>2.1</v>
      </c>
      <c r="O1101">
        <v>42</v>
      </c>
      <c r="P1101">
        <v>65</v>
      </c>
      <c r="S1101">
        <v>1</v>
      </c>
      <c r="T1101">
        <v>2.1</v>
      </c>
      <c r="U1101">
        <v>6.6</v>
      </c>
      <c r="V1101">
        <v>13.6</v>
      </c>
      <c r="W1101">
        <v>782</v>
      </c>
      <c r="X1101">
        <v>15</v>
      </c>
      <c r="Y1101" t="s">
        <v>1109</v>
      </c>
    </row>
    <row r="1102" spans="1:25">
      <c r="A1102" t="s">
        <v>1949</v>
      </c>
      <c r="B1102" s="2" t="str">
        <f>Hyperlink("https://www.diodes.com/datasheet/download/DMP3045LFVWQ.pdf")</f>
        <v>https://www.diodes.com/datasheet/download/DMP3045LFVWQ.pdf</v>
      </c>
      <c r="C1102" t="str">
        <f>Hyperlink("https://www.diodes.com/part/view/DMP3045LFVWQ","DMP3045LFVWQ")</f>
        <v>DMP3045LFVWQ</v>
      </c>
      <c r="D1102" t="s">
        <v>661</v>
      </c>
      <c r="E1102" t="s">
        <v>27</v>
      </c>
      <c r="F1102" t="s">
        <v>37</v>
      </c>
      <c r="G1102" t="s">
        <v>75</v>
      </c>
      <c r="H1102" t="s">
        <v>27</v>
      </c>
      <c r="I1102">
        <v>30</v>
      </c>
      <c r="J1102">
        <v>20</v>
      </c>
      <c r="K1102">
        <v>5.7</v>
      </c>
      <c r="L1102">
        <v>19.9</v>
      </c>
      <c r="M1102">
        <v>2.1</v>
      </c>
      <c r="O1102">
        <v>42</v>
      </c>
      <c r="P1102">
        <v>65</v>
      </c>
      <c r="S1102">
        <v>1</v>
      </c>
      <c r="T1102">
        <v>2.1</v>
      </c>
      <c r="U1102">
        <v>6.6</v>
      </c>
      <c r="V1102">
        <v>13.6</v>
      </c>
      <c r="W1102">
        <v>782</v>
      </c>
      <c r="X1102">
        <v>15</v>
      </c>
      <c r="Y1102" t="s">
        <v>1109</v>
      </c>
    </row>
    <row r="1103" spans="1:25">
      <c r="A1103" t="s">
        <v>1950</v>
      </c>
      <c r="B1103" s="2" t="str">
        <f>Hyperlink("https://www.diodes.com/datasheet/download/DMP3045LVT.pdf")</f>
        <v>https://www.diodes.com/datasheet/download/DMP3045LVT.pdf</v>
      </c>
      <c r="C1103" t="str">
        <f>Hyperlink("https://www.diodes.com/part/view/DMP3045LVT","DMP3045LVT")</f>
        <v>DMP3045LVT</v>
      </c>
      <c r="D1103" t="s">
        <v>74</v>
      </c>
      <c r="E1103" t="s">
        <v>30</v>
      </c>
      <c r="F1103" t="s">
        <v>28</v>
      </c>
      <c r="G1103" t="s">
        <v>75</v>
      </c>
      <c r="H1103" t="s">
        <v>27</v>
      </c>
      <c r="I1103">
        <v>30</v>
      </c>
      <c r="J1103">
        <v>20</v>
      </c>
      <c r="K1103">
        <v>5.4</v>
      </c>
      <c r="M1103">
        <v>1.6</v>
      </c>
      <c r="O1103">
        <v>42</v>
      </c>
      <c r="P1103">
        <v>65</v>
      </c>
      <c r="S1103">
        <v>1</v>
      </c>
      <c r="T1103">
        <v>2.1</v>
      </c>
      <c r="U1103">
        <v>7</v>
      </c>
      <c r="V1103">
        <v>14.3</v>
      </c>
      <c r="W1103">
        <v>749</v>
      </c>
      <c r="X1103">
        <v>15</v>
      </c>
      <c r="Y1103" t="s">
        <v>183</v>
      </c>
    </row>
    <row r="1104" spans="1:25">
      <c r="A1104" t="s">
        <v>1951</v>
      </c>
      <c r="B1104" s="2" t="str">
        <f>Hyperlink("https://www.diodes.com/datasheet/download/DMP3045LVTQ.pdf")</f>
        <v>https://www.diodes.com/datasheet/download/DMP3045LVTQ.pdf</v>
      </c>
      <c r="C1104" t="str">
        <f>Hyperlink("https://www.diodes.com/part/view/DMP3045LVTQ","DMP3045LVTQ")</f>
        <v>DMP3045LVTQ</v>
      </c>
      <c r="D1104" t="s">
        <v>1645</v>
      </c>
      <c r="E1104" t="s">
        <v>27</v>
      </c>
      <c r="F1104" t="s">
        <v>37</v>
      </c>
      <c r="G1104" t="s">
        <v>75</v>
      </c>
      <c r="H1104" t="s">
        <v>27</v>
      </c>
      <c r="I1104">
        <v>30</v>
      </c>
      <c r="J1104">
        <v>20</v>
      </c>
      <c r="K1104">
        <v>5.4</v>
      </c>
      <c r="M1104">
        <v>1.2</v>
      </c>
      <c r="O1104">
        <v>42</v>
      </c>
      <c r="P1104">
        <v>65</v>
      </c>
      <c r="S1104">
        <v>1</v>
      </c>
      <c r="T1104">
        <v>2.1</v>
      </c>
      <c r="U1104">
        <v>7</v>
      </c>
      <c r="V1104">
        <v>14.3</v>
      </c>
      <c r="W1104">
        <v>749</v>
      </c>
      <c r="X1104">
        <v>15</v>
      </c>
      <c r="Y1104" t="s">
        <v>183</v>
      </c>
    </row>
    <row r="1105" spans="1:25">
      <c r="A1105" t="s">
        <v>1952</v>
      </c>
      <c r="B1105" s="2" t="str">
        <f>Hyperlink("https://www.diodes.com/datasheet/download/DMP3048LSD.pdf")</f>
        <v>https://www.diodes.com/datasheet/download/DMP3048LSD.pdf</v>
      </c>
      <c r="C1105" t="str">
        <f>Hyperlink("https://www.diodes.com/part/view/DMP3048LSD","DMP3048LSD")</f>
        <v>DMP3048LSD</v>
      </c>
      <c r="D1105" t="s">
        <v>74</v>
      </c>
      <c r="E1105" t="s">
        <v>27</v>
      </c>
      <c r="F1105" t="s">
        <v>28</v>
      </c>
      <c r="G1105" t="s">
        <v>124</v>
      </c>
      <c r="H1105" t="s">
        <v>30</v>
      </c>
      <c r="I1105">
        <v>30</v>
      </c>
      <c r="J1105">
        <v>12</v>
      </c>
      <c r="K1105">
        <v>4.8</v>
      </c>
      <c r="M1105">
        <v>1.7</v>
      </c>
      <c r="O1105">
        <v>48</v>
      </c>
      <c r="P1105">
        <v>57</v>
      </c>
      <c r="Q1105">
        <v>80</v>
      </c>
      <c r="T1105">
        <v>1.3</v>
      </c>
      <c r="U1105">
        <v>13.5</v>
      </c>
      <c r="V1105">
        <v>29.6</v>
      </c>
      <c r="W1105">
        <v>1438</v>
      </c>
      <c r="X1105">
        <v>15</v>
      </c>
      <c r="Y1105" t="s">
        <v>213</v>
      </c>
    </row>
    <row r="1106" spans="1:25">
      <c r="A1106" t="s">
        <v>1953</v>
      </c>
      <c r="B1106" s="2" t="str">
        <f>Hyperlink("https://www.diodes.com/datasheet/download/DMP3050LSS.pdf")</f>
        <v>https://www.diodes.com/datasheet/download/DMP3050LSS.pdf</v>
      </c>
      <c r="C1106" t="str">
        <f>Hyperlink("https://www.diodes.com/part/view/DMP3050LSS","DMP3050LSS")</f>
        <v>DMP3050LSS</v>
      </c>
      <c r="D1106" t="s">
        <v>74</v>
      </c>
      <c r="E1106" t="s">
        <v>27</v>
      </c>
      <c r="F1106" t="s">
        <v>28</v>
      </c>
      <c r="G1106" t="s">
        <v>75</v>
      </c>
      <c r="H1106" t="s">
        <v>30</v>
      </c>
      <c r="I1106">
        <v>30</v>
      </c>
      <c r="J1106">
        <v>25</v>
      </c>
      <c r="K1106">
        <v>4.8</v>
      </c>
      <c r="M1106">
        <v>1.7</v>
      </c>
      <c r="O1106">
        <v>45</v>
      </c>
      <c r="P1106">
        <v>80</v>
      </c>
      <c r="T1106">
        <v>2</v>
      </c>
      <c r="U1106">
        <v>5.1</v>
      </c>
      <c r="V1106">
        <v>10.5</v>
      </c>
      <c r="W1106">
        <v>620</v>
      </c>
      <c r="Y1106" t="s">
        <v>213</v>
      </c>
    </row>
    <row r="1107" spans="1:25">
      <c r="A1107" t="s">
        <v>1954</v>
      </c>
      <c r="B1107" s="2" t="str">
        <f>Hyperlink("https://www.diodes.com/datasheet/download/DMP3050LVT.pdf")</f>
        <v>https://www.diodes.com/datasheet/download/DMP3050LVT.pdf</v>
      </c>
      <c r="C1107" t="str">
        <f>Hyperlink("https://www.diodes.com/part/view/DMP3050LVT","DMP3050LVT")</f>
        <v>DMP3050LVT</v>
      </c>
      <c r="D1107" t="s">
        <v>74</v>
      </c>
      <c r="E1107" t="s">
        <v>27</v>
      </c>
      <c r="F1107" t="s">
        <v>28</v>
      </c>
      <c r="G1107" t="s">
        <v>75</v>
      </c>
      <c r="H1107" t="s">
        <v>30</v>
      </c>
      <c r="I1107">
        <v>30</v>
      </c>
      <c r="J1107">
        <v>25</v>
      </c>
      <c r="K1107">
        <v>4.5</v>
      </c>
      <c r="M1107">
        <v>1.6</v>
      </c>
      <c r="O1107">
        <v>50</v>
      </c>
      <c r="P1107">
        <v>75</v>
      </c>
      <c r="T1107">
        <v>2</v>
      </c>
      <c r="U1107">
        <v>5.1</v>
      </c>
      <c r="V1107">
        <v>10.5</v>
      </c>
      <c r="W1107">
        <v>620</v>
      </c>
      <c r="Y1107" t="s">
        <v>183</v>
      </c>
    </row>
    <row r="1108" spans="1:25">
      <c r="A1108" t="s">
        <v>1955</v>
      </c>
      <c r="B1108" s="2" t="str">
        <f>Hyperlink("https://www.diodes.com/datasheet/download/DMP3050LVTQ.pdf")</f>
        <v>https://www.diodes.com/datasheet/download/DMP3050LVTQ.pdf</v>
      </c>
      <c r="C1108" t="str">
        <f>Hyperlink("https://www.diodes.com/part/view/DMP3050LVTQ","DMP3050LVTQ")</f>
        <v>DMP3050LVTQ</v>
      </c>
      <c r="D1108" t="s">
        <v>74</v>
      </c>
      <c r="E1108" t="s">
        <v>27</v>
      </c>
      <c r="F1108" t="s">
        <v>37</v>
      </c>
      <c r="G1108" t="s">
        <v>75</v>
      </c>
      <c r="H1108" t="s">
        <v>30</v>
      </c>
      <c r="I1108">
        <v>30</v>
      </c>
      <c r="J1108">
        <v>25</v>
      </c>
      <c r="K1108">
        <v>4.5</v>
      </c>
      <c r="M1108">
        <v>1.6</v>
      </c>
      <c r="O1108">
        <v>50</v>
      </c>
      <c r="P1108">
        <v>75</v>
      </c>
      <c r="S1108">
        <v>1</v>
      </c>
      <c r="T1108">
        <v>2</v>
      </c>
      <c r="U1108">
        <v>5.1</v>
      </c>
      <c r="V1108">
        <v>10.5</v>
      </c>
      <c r="W1108">
        <v>620</v>
      </c>
      <c r="Y1108" t="s">
        <v>183</v>
      </c>
    </row>
    <row r="1109" spans="1:25">
      <c r="A1109" t="s">
        <v>1956</v>
      </c>
      <c r="B1109" s="2" t="str">
        <f>Hyperlink("https://www.diodes.com/datasheet/download/DMP3056L.pdf")</f>
        <v>https://www.diodes.com/datasheet/download/DMP3056L.pdf</v>
      </c>
      <c r="C1109" t="str">
        <f>Hyperlink("https://www.diodes.com/part/view/DMP3056L","DMP3056L")</f>
        <v>DMP3056L</v>
      </c>
      <c r="D1109" t="s">
        <v>74</v>
      </c>
      <c r="E1109" t="s">
        <v>27</v>
      </c>
      <c r="F1109" t="s">
        <v>28</v>
      </c>
      <c r="G1109" t="s">
        <v>75</v>
      </c>
      <c r="H1109" t="s">
        <v>30</v>
      </c>
      <c r="I1109">
        <v>30</v>
      </c>
      <c r="J1109">
        <v>25</v>
      </c>
      <c r="K1109">
        <v>4.3</v>
      </c>
      <c r="M1109">
        <v>1.38</v>
      </c>
      <c r="O1109">
        <v>50</v>
      </c>
      <c r="P1109">
        <v>70</v>
      </c>
      <c r="T1109">
        <v>2.1</v>
      </c>
      <c r="U1109">
        <v>5.8</v>
      </c>
      <c r="V1109">
        <v>11.8</v>
      </c>
      <c r="W1109">
        <v>642</v>
      </c>
      <c r="X1109">
        <v>25</v>
      </c>
      <c r="Y1109" t="s">
        <v>35</v>
      </c>
    </row>
    <row r="1110" spans="1:25">
      <c r="A1110" t="s">
        <v>1957</v>
      </c>
      <c r="B1110" s="2" t="str">
        <f>Hyperlink("https://www.diodes.com/datasheet/download/DMP3056LDM.pdf")</f>
        <v>https://www.diodes.com/datasheet/download/DMP3056LDM.pdf</v>
      </c>
      <c r="C1110" t="str">
        <f>Hyperlink("https://www.diodes.com/part/view/DMP3056LDM","DMP3056LDM")</f>
        <v>DMP3056LDM</v>
      </c>
      <c r="D1110" t="s">
        <v>74</v>
      </c>
      <c r="E1110" t="s">
        <v>27</v>
      </c>
      <c r="F1110" t="s">
        <v>28</v>
      </c>
      <c r="G1110" t="s">
        <v>75</v>
      </c>
      <c r="H1110" t="s">
        <v>30</v>
      </c>
      <c r="I1110">
        <v>30</v>
      </c>
      <c r="J1110">
        <v>20</v>
      </c>
      <c r="K1110">
        <v>4.3</v>
      </c>
      <c r="M1110">
        <v>1.5</v>
      </c>
      <c r="O1110">
        <v>45</v>
      </c>
      <c r="P1110">
        <v>65</v>
      </c>
      <c r="T1110">
        <v>2.1</v>
      </c>
      <c r="U1110">
        <v>10.1</v>
      </c>
      <c r="V1110">
        <v>21.1</v>
      </c>
      <c r="W1110">
        <v>948</v>
      </c>
      <c r="Y1110" t="s">
        <v>339</v>
      </c>
    </row>
    <row r="1111" spans="1:25">
      <c r="A1111" t="s">
        <v>1958</v>
      </c>
      <c r="B1111" s="2" t="str">
        <f>Hyperlink("https://www.diodes.com/datasheet/download/DMP3056LSD.pdf")</f>
        <v>https://www.diodes.com/datasheet/download/DMP3056LSD.pdf</v>
      </c>
      <c r="C1111" t="str">
        <f>Hyperlink("https://www.diodes.com/part/view/DMP3056LSD","DMP3056LSD")</f>
        <v>DMP3056LSD</v>
      </c>
      <c r="D1111" t="s">
        <v>1959</v>
      </c>
      <c r="E1111" t="s">
        <v>27</v>
      </c>
      <c r="F1111" t="s">
        <v>28</v>
      </c>
      <c r="G1111" t="s">
        <v>124</v>
      </c>
      <c r="H1111" t="s">
        <v>30</v>
      </c>
      <c r="I1111">
        <v>30</v>
      </c>
      <c r="J1111">
        <v>20</v>
      </c>
      <c r="K1111">
        <v>6.9</v>
      </c>
      <c r="M1111">
        <v>2.5</v>
      </c>
      <c r="O1111">
        <v>45</v>
      </c>
      <c r="P1111">
        <v>65</v>
      </c>
      <c r="T1111">
        <v>2.1</v>
      </c>
      <c r="U1111">
        <v>6.8</v>
      </c>
      <c r="V1111">
        <v>13.7</v>
      </c>
      <c r="W1111">
        <v>722</v>
      </c>
      <c r="Y1111" t="s">
        <v>213</v>
      </c>
    </row>
    <row r="1112" spans="1:25">
      <c r="A1112" t="s">
        <v>1960</v>
      </c>
      <c r="B1112" s="2" t="str">
        <f>Hyperlink("https://www.diodes.com/datasheet/download/DMP3056LSDQ.pdf")</f>
        <v>https://www.diodes.com/datasheet/download/DMP3056LSDQ.pdf</v>
      </c>
      <c r="C1112" t="str">
        <f>Hyperlink("https://www.diodes.com/part/view/DMP3056LSDQ","DMP3056LSDQ")</f>
        <v>DMP3056LSDQ</v>
      </c>
      <c r="D1112" t="s">
        <v>1959</v>
      </c>
      <c r="E1112" t="s">
        <v>27</v>
      </c>
      <c r="F1112" t="s">
        <v>37</v>
      </c>
      <c r="G1112" t="s">
        <v>124</v>
      </c>
      <c r="H1112" t="s">
        <v>30</v>
      </c>
      <c r="I1112">
        <v>30</v>
      </c>
      <c r="J1112">
        <v>20</v>
      </c>
      <c r="K1112">
        <v>6.9</v>
      </c>
      <c r="M1112">
        <v>2.5</v>
      </c>
      <c r="O1112">
        <v>45</v>
      </c>
      <c r="P1112">
        <v>65</v>
      </c>
      <c r="T1112">
        <v>2.1</v>
      </c>
      <c r="U1112">
        <v>6.8</v>
      </c>
      <c r="V1112">
        <v>13.7</v>
      </c>
      <c r="Y1112" t="s">
        <v>213</v>
      </c>
    </row>
    <row r="1113" spans="1:25">
      <c r="A1113" t="s">
        <v>1961</v>
      </c>
      <c r="B1113" s="2" t="str">
        <f>Hyperlink("https://www.diodes.com/datasheet/download/DMP3056LSS.pdf")</f>
        <v>https://www.diodes.com/datasheet/download/DMP3056LSS.pdf</v>
      </c>
      <c r="C1113" t="str">
        <f>Hyperlink("https://www.diodes.com/part/view/DMP3056LSS","DMP3056LSS")</f>
        <v>DMP3056LSS</v>
      </c>
      <c r="D1113" t="s">
        <v>74</v>
      </c>
      <c r="E1113" t="s">
        <v>27</v>
      </c>
      <c r="F1113" t="s">
        <v>28</v>
      </c>
      <c r="G1113" t="s">
        <v>75</v>
      </c>
      <c r="H1113" t="s">
        <v>30</v>
      </c>
      <c r="I1113">
        <v>30</v>
      </c>
      <c r="J1113">
        <v>20</v>
      </c>
      <c r="K1113">
        <v>7.1</v>
      </c>
      <c r="M1113">
        <v>2.5</v>
      </c>
      <c r="O1113">
        <v>45</v>
      </c>
      <c r="P1113">
        <v>65</v>
      </c>
      <c r="T1113">
        <v>2.1</v>
      </c>
      <c r="U1113">
        <v>6.8</v>
      </c>
      <c r="V1113">
        <v>13.7</v>
      </c>
      <c r="W1113">
        <v>722</v>
      </c>
      <c r="Y1113" t="s">
        <v>213</v>
      </c>
    </row>
    <row r="1114" spans="1:25">
      <c r="A1114" t="s">
        <v>1962</v>
      </c>
      <c r="B1114" s="2" t="str">
        <f>Hyperlink("https://www.diodes.com/datasheet/download/DMP3056LSSQ.pdf")</f>
        <v>https://www.diodes.com/datasheet/download/DMP3056LSSQ.pdf</v>
      </c>
      <c r="C1114" t="str">
        <f>Hyperlink("https://www.diodes.com/part/view/DMP3056LSSQ","DMP3056LSSQ")</f>
        <v>DMP3056LSSQ</v>
      </c>
      <c r="D1114" t="s">
        <v>1963</v>
      </c>
      <c r="E1114" t="s">
        <v>27</v>
      </c>
      <c r="F1114" t="s">
        <v>37</v>
      </c>
      <c r="G1114" t="s">
        <v>75</v>
      </c>
      <c r="H1114" t="s">
        <v>30</v>
      </c>
      <c r="I1114">
        <v>30</v>
      </c>
      <c r="J1114">
        <v>20</v>
      </c>
      <c r="K1114">
        <v>4.9</v>
      </c>
      <c r="M1114">
        <v>1.6</v>
      </c>
      <c r="O1114">
        <v>45</v>
      </c>
      <c r="P1114">
        <v>65</v>
      </c>
      <c r="T1114">
        <v>2.1</v>
      </c>
      <c r="U1114">
        <v>8.2</v>
      </c>
      <c r="V1114">
        <v>17.3</v>
      </c>
      <c r="W1114">
        <v>969</v>
      </c>
      <c r="X1114">
        <v>15</v>
      </c>
      <c r="Y1114" t="s">
        <v>213</v>
      </c>
    </row>
    <row r="1115" spans="1:25">
      <c r="A1115" t="s">
        <v>1964</v>
      </c>
      <c r="B1115" s="2" t="str">
        <f>Hyperlink("https://www.diodes.com/datasheet/download/DMP3065LVT.pdf")</f>
        <v>https://www.diodes.com/datasheet/download/DMP3065LVT.pdf</v>
      </c>
      <c r="C1115" t="str">
        <f>Hyperlink("https://www.diodes.com/part/view/DMP3065LVT","DMP3065LVT")</f>
        <v>DMP3065LVT</v>
      </c>
      <c r="D1115" t="s">
        <v>74</v>
      </c>
      <c r="E1115" t="s">
        <v>27</v>
      </c>
      <c r="F1115" t="s">
        <v>28</v>
      </c>
      <c r="G1115" t="s">
        <v>75</v>
      </c>
      <c r="H1115" t="s">
        <v>27</v>
      </c>
      <c r="I1115">
        <v>30</v>
      </c>
      <c r="J1115">
        <v>20</v>
      </c>
      <c r="K1115">
        <v>5.1</v>
      </c>
      <c r="M1115">
        <v>1.6</v>
      </c>
      <c r="O1115">
        <v>42</v>
      </c>
      <c r="P1115">
        <v>65</v>
      </c>
      <c r="T1115">
        <v>2.1</v>
      </c>
      <c r="U1115">
        <v>6.3</v>
      </c>
      <c r="V1115">
        <v>12.3</v>
      </c>
      <c r="W1115">
        <v>587</v>
      </c>
      <c r="Y1115" t="s">
        <v>183</v>
      </c>
    </row>
    <row r="1116" spans="1:25">
      <c r="A1116" t="s">
        <v>1965</v>
      </c>
      <c r="B1116" s="2" t="str">
        <f>Hyperlink("https://www.diodes.com/datasheet/download/DMP3068L.pdf")</f>
        <v>https://www.diodes.com/datasheet/download/DMP3068L.pdf</v>
      </c>
      <c r="C1116" t="str">
        <f>Hyperlink("https://www.diodes.com/part/view/DMP3068L","DMP3068L")</f>
        <v>DMP3068L</v>
      </c>
      <c r="D1116" t="s">
        <v>661</v>
      </c>
      <c r="E1116" t="s">
        <v>30</v>
      </c>
      <c r="F1116" t="s">
        <v>28</v>
      </c>
      <c r="G1116" t="s">
        <v>75</v>
      </c>
      <c r="H1116" t="s">
        <v>30</v>
      </c>
      <c r="I1116">
        <v>30</v>
      </c>
      <c r="J1116">
        <v>12</v>
      </c>
      <c r="K1116">
        <v>3.3</v>
      </c>
      <c r="M1116">
        <v>1.2</v>
      </c>
      <c r="O1116">
        <v>72</v>
      </c>
      <c r="P1116">
        <v>85</v>
      </c>
      <c r="Q1116">
        <v>120</v>
      </c>
      <c r="T1116">
        <v>1.3</v>
      </c>
      <c r="U1116">
        <v>7.3</v>
      </c>
      <c r="V1116">
        <v>15.9</v>
      </c>
      <c r="W1116">
        <v>708</v>
      </c>
      <c r="X1116">
        <v>15</v>
      </c>
      <c r="Y1116" t="s">
        <v>35</v>
      </c>
    </row>
    <row r="1117" spans="1:25">
      <c r="A1117" t="s">
        <v>1966</v>
      </c>
      <c r="B1117" s="2" t="str">
        <f>Hyperlink("https://www.diodes.com/datasheet/download/DMP3068LVT.pdf")</f>
        <v>https://www.diodes.com/datasheet/download/DMP3068LVT.pdf</v>
      </c>
      <c r="C1117" t="str">
        <f>Hyperlink("https://www.diodes.com/part/view/DMP3068LVT","DMP3068LVT")</f>
        <v>DMP3068LVT</v>
      </c>
      <c r="D1117" t="s">
        <v>74</v>
      </c>
      <c r="E1117" t="s">
        <v>30</v>
      </c>
      <c r="F1117" t="s">
        <v>28</v>
      </c>
      <c r="G1117" t="s">
        <v>75</v>
      </c>
      <c r="H1117" t="s">
        <v>30</v>
      </c>
      <c r="I1117">
        <v>30</v>
      </c>
      <c r="J1117">
        <v>12</v>
      </c>
      <c r="K1117">
        <v>3.3</v>
      </c>
      <c r="M1117">
        <v>1.8</v>
      </c>
      <c r="O1117">
        <v>75</v>
      </c>
      <c r="P1117">
        <v>105</v>
      </c>
      <c r="Q1117">
        <v>150</v>
      </c>
      <c r="T1117">
        <v>1.3</v>
      </c>
      <c r="U1117">
        <v>7.3</v>
      </c>
      <c r="W1117">
        <v>708</v>
      </c>
      <c r="X1117">
        <v>15</v>
      </c>
      <c r="Y1117" t="s">
        <v>183</v>
      </c>
    </row>
    <row r="1118" spans="1:25">
      <c r="A1118" t="s">
        <v>1967</v>
      </c>
      <c r="B1118" s="2" t="str">
        <f>Hyperlink("https://www.diodes.com/datasheet/download/DMP3085LSD.pdf")</f>
        <v>https://www.diodes.com/datasheet/download/DMP3085LSD.pdf</v>
      </c>
      <c r="C1118" t="str">
        <f>Hyperlink("https://www.diodes.com/part/view/DMP3085LSD","DMP3085LSD")</f>
        <v>DMP3085LSD</v>
      </c>
      <c r="D1118" t="s">
        <v>123</v>
      </c>
      <c r="E1118" t="s">
        <v>27</v>
      </c>
      <c r="F1118" t="s">
        <v>28</v>
      </c>
      <c r="G1118" t="s">
        <v>124</v>
      </c>
      <c r="H1118" t="s">
        <v>30</v>
      </c>
      <c r="I1118">
        <v>30</v>
      </c>
      <c r="J1118">
        <v>20</v>
      </c>
      <c r="K1118">
        <v>3.9</v>
      </c>
      <c r="M1118">
        <v>1.7</v>
      </c>
      <c r="O1118">
        <v>70</v>
      </c>
      <c r="P1118">
        <v>95</v>
      </c>
      <c r="T1118">
        <v>3</v>
      </c>
      <c r="U1118">
        <v>5.2</v>
      </c>
      <c r="V1118">
        <v>11</v>
      </c>
      <c r="W1118">
        <v>563</v>
      </c>
      <c r="Y1118" t="s">
        <v>213</v>
      </c>
    </row>
    <row r="1119" spans="1:25">
      <c r="A1119" t="s">
        <v>1968</v>
      </c>
      <c r="B1119" s="2" t="str">
        <f>Hyperlink("https://www.diodes.com/datasheet/download/DMP3085LSS.pdf")</f>
        <v>https://www.diodes.com/datasheet/download/DMP3085LSS.pdf</v>
      </c>
      <c r="C1119" t="str">
        <f>Hyperlink("https://www.diodes.com/part/view/DMP3085LSS","DMP3085LSS")</f>
        <v>DMP3085LSS</v>
      </c>
      <c r="D1119" t="s">
        <v>74</v>
      </c>
      <c r="E1119" t="s">
        <v>27</v>
      </c>
      <c r="F1119" t="s">
        <v>28</v>
      </c>
      <c r="G1119" t="s">
        <v>75</v>
      </c>
      <c r="H1119" t="s">
        <v>30</v>
      </c>
      <c r="I1119">
        <v>30</v>
      </c>
      <c r="J1119">
        <v>20</v>
      </c>
      <c r="K1119">
        <v>3.8</v>
      </c>
      <c r="M1119">
        <v>1.6</v>
      </c>
      <c r="O1119">
        <v>70</v>
      </c>
      <c r="P1119">
        <v>95</v>
      </c>
      <c r="T1119">
        <v>3</v>
      </c>
      <c r="U1119">
        <v>5.2</v>
      </c>
      <c r="V1119">
        <v>11</v>
      </c>
      <c r="W1119">
        <v>563</v>
      </c>
      <c r="Y1119" t="s">
        <v>213</v>
      </c>
    </row>
    <row r="1120" spans="1:25">
      <c r="A1120" t="s">
        <v>1969</v>
      </c>
      <c r="B1120" s="2" t="str">
        <f>Hyperlink("https://www.diodes.com/datasheet/download/DMP3096L.pdf")</f>
        <v>https://www.diodes.com/datasheet/download/DMP3096L.pdf</v>
      </c>
      <c r="C1120" t="str">
        <f>Hyperlink("https://www.diodes.com/part/view/DMP3096L","DMP3096L")</f>
        <v>DMP3096L</v>
      </c>
      <c r="D1120" t="s">
        <v>1645</v>
      </c>
      <c r="E1120" t="s">
        <v>30</v>
      </c>
      <c r="F1120" t="s">
        <v>28</v>
      </c>
      <c r="G1120" t="s">
        <v>75</v>
      </c>
      <c r="H1120" t="s">
        <v>27</v>
      </c>
      <c r="I1120">
        <v>30</v>
      </c>
      <c r="J1120">
        <v>20</v>
      </c>
      <c r="K1120">
        <v>3.4</v>
      </c>
      <c r="M1120">
        <v>1.2</v>
      </c>
      <c r="O1120">
        <v>70</v>
      </c>
      <c r="P1120">
        <v>130</v>
      </c>
      <c r="S1120">
        <v>1</v>
      </c>
      <c r="T1120">
        <v>2.1</v>
      </c>
      <c r="U1120">
        <v>3.8</v>
      </c>
      <c r="V1120">
        <v>7.5</v>
      </c>
      <c r="W1120">
        <v>366</v>
      </c>
      <c r="X1120">
        <v>25</v>
      </c>
      <c r="Y1120" t="s">
        <v>35</v>
      </c>
    </row>
    <row r="1121" spans="1:25">
      <c r="A1121" t="s">
        <v>1970</v>
      </c>
      <c r="B1121" s="2" t="str">
        <f>Hyperlink("https://www.diodes.com/datasheet/download/DMP3096LQ.pdf")</f>
        <v>https://www.diodes.com/datasheet/download/DMP3096LQ.pdf</v>
      </c>
      <c r="C1121" t="str">
        <f>Hyperlink("https://www.diodes.com/part/view/DMP3096LQ","DMP3096LQ")</f>
        <v>DMP3096LQ</v>
      </c>
      <c r="D1121" t="s">
        <v>1645</v>
      </c>
      <c r="E1121" t="s">
        <v>27</v>
      </c>
      <c r="F1121" t="s">
        <v>37</v>
      </c>
      <c r="G1121" t="s">
        <v>75</v>
      </c>
      <c r="H1121" t="s">
        <v>27</v>
      </c>
      <c r="I1121">
        <v>30</v>
      </c>
      <c r="J1121">
        <v>20</v>
      </c>
      <c r="K1121">
        <v>3.4</v>
      </c>
      <c r="M1121">
        <v>1.2</v>
      </c>
      <c r="O1121">
        <v>70</v>
      </c>
      <c r="P1121">
        <v>130</v>
      </c>
      <c r="S1121">
        <v>1</v>
      </c>
      <c r="T1121">
        <v>2.1</v>
      </c>
      <c r="U1121">
        <v>3.8</v>
      </c>
      <c r="V1121">
        <v>7.5</v>
      </c>
      <c r="W1121">
        <v>366</v>
      </c>
      <c r="X1121">
        <v>25</v>
      </c>
      <c r="Y1121" t="s">
        <v>35</v>
      </c>
    </row>
    <row r="1122" spans="1:25">
      <c r="A1122" t="s">
        <v>1971</v>
      </c>
      <c r="B1122" s="2" t="str">
        <f>Hyperlink("https://www.diodes.com/datasheet/download/DMP3097L.pdf")</f>
        <v>https://www.diodes.com/datasheet/download/DMP3097L.pdf</v>
      </c>
      <c r="C1122" t="str">
        <f>Hyperlink("https://www.diodes.com/part/view/DMP3097L","DMP3097L")</f>
        <v>DMP3097L</v>
      </c>
      <c r="D1122" t="s">
        <v>74</v>
      </c>
      <c r="E1122" t="s">
        <v>30</v>
      </c>
      <c r="F1122" t="s">
        <v>28</v>
      </c>
      <c r="G1122" t="s">
        <v>75</v>
      </c>
      <c r="H1122" t="s">
        <v>30</v>
      </c>
      <c r="I1122">
        <v>30</v>
      </c>
      <c r="J1122">
        <v>20</v>
      </c>
      <c r="K1122">
        <v>2.7</v>
      </c>
      <c r="M1122">
        <v>1.52</v>
      </c>
      <c r="O1122">
        <v>65</v>
      </c>
      <c r="P1122">
        <v>99</v>
      </c>
      <c r="T1122">
        <v>2.1</v>
      </c>
      <c r="U1122">
        <v>6.6</v>
      </c>
      <c r="V1122">
        <v>13.4</v>
      </c>
      <c r="Y1122" t="s">
        <v>35</v>
      </c>
    </row>
    <row r="1123" spans="1:25">
      <c r="A1123" t="s">
        <v>1972</v>
      </c>
      <c r="B1123" s="2" t="str">
        <f>Hyperlink("https://www.diodes.com/datasheet/download/DMP3097LQ.pdf")</f>
        <v>https://www.diodes.com/datasheet/download/DMP3097LQ.pdf</v>
      </c>
      <c r="C1123" t="str">
        <f>Hyperlink("https://www.diodes.com/part/view/DMP3097LQ","DMP3097LQ")</f>
        <v>DMP3097LQ</v>
      </c>
      <c r="D1123" t="s">
        <v>74</v>
      </c>
      <c r="E1123" t="s">
        <v>27</v>
      </c>
      <c r="F1123" t="s">
        <v>37</v>
      </c>
      <c r="G1123" t="s">
        <v>75</v>
      </c>
      <c r="H1123" t="s">
        <v>30</v>
      </c>
      <c r="I1123">
        <v>30</v>
      </c>
      <c r="J1123">
        <v>20</v>
      </c>
      <c r="K1123">
        <v>2.7</v>
      </c>
      <c r="M1123">
        <v>1.57</v>
      </c>
      <c r="O1123">
        <v>65</v>
      </c>
      <c r="P1123">
        <v>99</v>
      </c>
      <c r="T1123">
        <v>2.1</v>
      </c>
      <c r="U1123">
        <v>6.6</v>
      </c>
      <c r="V1123">
        <v>13.4</v>
      </c>
      <c r="Y1123" t="s">
        <v>35</v>
      </c>
    </row>
    <row r="1124" spans="1:25">
      <c r="A1124" t="s">
        <v>1973</v>
      </c>
      <c r="B1124" s="2" t="str">
        <f>Hyperlink("https://www.diodes.com/datasheet/download/DMP3098L.pdf")</f>
        <v>https://www.diodes.com/datasheet/download/DMP3098L.pdf</v>
      </c>
      <c r="C1124" t="str">
        <f>Hyperlink("https://www.diodes.com/part/view/DMP3098L","DMP3098L")</f>
        <v>DMP3098L</v>
      </c>
      <c r="D1124" t="s">
        <v>74</v>
      </c>
      <c r="E1124" t="s">
        <v>27</v>
      </c>
      <c r="F1124" t="s">
        <v>28</v>
      </c>
      <c r="G1124" t="s">
        <v>75</v>
      </c>
      <c r="H1124" t="s">
        <v>30</v>
      </c>
      <c r="I1124">
        <v>30</v>
      </c>
      <c r="J1124">
        <v>20</v>
      </c>
      <c r="K1124">
        <v>3.8</v>
      </c>
      <c r="M1124">
        <v>1.08</v>
      </c>
      <c r="O1124">
        <v>70</v>
      </c>
      <c r="P1124">
        <v>120</v>
      </c>
      <c r="T1124">
        <v>2.1</v>
      </c>
      <c r="U1124">
        <v>4</v>
      </c>
      <c r="V1124">
        <v>7.8</v>
      </c>
      <c r="W1124">
        <v>336</v>
      </c>
      <c r="X1124">
        <v>25</v>
      </c>
      <c r="Y1124" t="s">
        <v>35</v>
      </c>
    </row>
    <row r="1125" spans="1:25">
      <c r="A1125" t="s">
        <v>1974</v>
      </c>
      <c r="B1125" s="2" t="str">
        <f>Hyperlink("https://www.diodes.com/datasheet/download/DMP3098LDM.pdf")</f>
        <v>https://www.diodes.com/datasheet/download/DMP3098LDM.pdf</v>
      </c>
      <c r="C1125" t="str">
        <f>Hyperlink("https://www.diodes.com/part/view/DMP3098LDM","DMP3098LDM")</f>
        <v>DMP3098LDM</v>
      </c>
      <c r="D1125" t="s">
        <v>74</v>
      </c>
      <c r="E1125" t="s">
        <v>27</v>
      </c>
      <c r="F1125" t="s">
        <v>28</v>
      </c>
      <c r="G1125" t="s">
        <v>75</v>
      </c>
      <c r="H1125" t="s">
        <v>30</v>
      </c>
      <c r="I1125">
        <v>30</v>
      </c>
      <c r="J1125">
        <v>20</v>
      </c>
      <c r="K1125">
        <v>4</v>
      </c>
      <c r="M1125">
        <v>1.25</v>
      </c>
      <c r="O1125">
        <v>65</v>
      </c>
      <c r="P1125">
        <v>115</v>
      </c>
      <c r="T1125">
        <v>2.1</v>
      </c>
      <c r="U1125">
        <v>4</v>
      </c>
      <c r="V1125">
        <v>7.8</v>
      </c>
      <c r="W1125">
        <v>336</v>
      </c>
      <c r="Y1125" t="s">
        <v>339</v>
      </c>
    </row>
    <row r="1126" spans="1:25">
      <c r="A1126" t="s">
        <v>1975</v>
      </c>
      <c r="B1126" s="2" t="str">
        <f>Hyperlink("https://www.diodes.com/datasheet/download/DMP3098LQ.pdf")</f>
        <v>https://www.diodes.com/datasheet/download/DMP3098LQ.pdf</v>
      </c>
      <c r="C1126" t="str">
        <f>Hyperlink("https://www.diodes.com/part/view/DMP3098LQ","DMP3098LQ")</f>
        <v>DMP3098LQ</v>
      </c>
      <c r="D1126" t="s">
        <v>661</v>
      </c>
      <c r="E1126" t="s">
        <v>27</v>
      </c>
      <c r="F1126" t="s">
        <v>37</v>
      </c>
      <c r="G1126" t="s">
        <v>75</v>
      </c>
      <c r="H1126" t="s">
        <v>30</v>
      </c>
      <c r="I1126">
        <v>30</v>
      </c>
      <c r="J1126">
        <v>20</v>
      </c>
      <c r="K1126">
        <v>3.8</v>
      </c>
      <c r="M1126">
        <v>1.08</v>
      </c>
      <c r="O1126">
        <v>70</v>
      </c>
      <c r="P1126">
        <v>120</v>
      </c>
      <c r="T1126">
        <v>2.1</v>
      </c>
      <c r="U1126">
        <v>4</v>
      </c>
      <c r="V1126">
        <v>7.8</v>
      </c>
      <c r="W1126">
        <v>336</v>
      </c>
      <c r="X1126">
        <v>25</v>
      </c>
      <c r="Y1126" t="s">
        <v>35</v>
      </c>
    </row>
    <row r="1127" spans="1:25">
      <c r="A1127" t="s">
        <v>1976</v>
      </c>
      <c r="B1127" s="2" t="str">
        <f>Hyperlink("https://www.diodes.com/datasheet/download/DMP3098LSD.pdf")</f>
        <v>https://www.diodes.com/datasheet/download/DMP3098LSD.pdf</v>
      </c>
      <c r="C1127" t="str">
        <f>Hyperlink("https://www.diodes.com/part/view/DMP3098LSD","DMP3098LSD")</f>
        <v>DMP3098LSD</v>
      </c>
      <c r="D1127" t="s">
        <v>123</v>
      </c>
      <c r="E1127" t="s">
        <v>27</v>
      </c>
      <c r="F1127" t="s">
        <v>28</v>
      </c>
      <c r="G1127" t="s">
        <v>124</v>
      </c>
      <c r="H1127" t="s">
        <v>30</v>
      </c>
      <c r="I1127">
        <v>30</v>
      </c>
      <c r="J1127">
        <v>20</v>
      </c>
      <c r="K1127">
        <v>4.4</v>
      </c>
      <c r="M1127">
        <v>1.8</v>
      </c>
      <c r="O1127">
        <v>65</v>
      </c>
      <c r="P1127">
        <v>115</v>
      </c>
      <c r="T1127">
        <v>2.1</v>
      </c>
      <c r="U1127">
        <v>4</v>
      </c>
      <c r="V1127">
        <v>7.8</v>
      </c>
      <c r="W1127">
        <v>336</v>
      </c>
      <c r="Y1127" t="s">
        <v>213</v>
      </c>
    </row>
    <row r="1128" spans="1:25">
      <c r="A1128" t="s">
        <v>1977</v>
      </c>
      <c r="B1128" s="2" t="str">
        <f>Hyperlink("https://www.diodes.com/datasheet/download/DMP3098LSS.pdf")</f>
        <v>https://www.diodes.com/datasheet/download/DMP3098LSS.pdf</v>
      </c>
      <c r="C1128" t="str">
        <f>Hyperlink("https://www.diodes.com/part/view/DMP3098LSS","DMP3098LSS")</f>
        <v>DMP3098LSS</v>
      </c>
      <c r="D1128" t="s">
        <v>74</v>
      </c>
      <c r="E1128" t="s">
        <v>27</v>
      </c>
      <c r="F1128" t="s">
        <v>28</v>
      </c>
      <c r="G1128" t="s">
        <v>75</v>
      </c>
      <c r="H1128" t="s">
        <v>30</v>
      </c>
      <c r="I1128">
        <v>30</v>
      </c>
      <c r="J1128">
        <v>20</v>
      </c>
      <c r="K1128">
        <v>5.3</v>
      </c>
      <c r="M1128">
        <v>2.5</v>
      </c>
      <c r="O1128">
        <v>65</v>
      </c>
      <c r="P1128">
        <v>115</v>
      </c>
      <c r="T1128">
        <v>2.1</v>
      </c>
      <c r="U1128">
        <v>4</v>
      </c>
      <c r="V1128">
        <v>7.8</v>
      </c>
      <c r="W1128">
        <v>336</v>
      </c>
      <c r="Y1128" t="s">
        <v>213</v>
      </c>
    </row>
    <row r="1129" spans="1:25">
      <c r="A1129" t="s">
        <v>1978</v>
      </c>
      <c r="B1129" s="2" t="str">
        <f>Hyperlink("https://www.diodes.com/datasheet/download/DMP3099L.pdf")</f>
        <v>https://www.diodes.com/datasheet/download/DMP3099L.pdf</v>
      </c>
      <c r="C1129" t="str">
        <f>Hyperlink("https://www.diodes.com/part/view/DMP3099L","DMP3099L")</f>
        <v>DMP3099L</v>
      </c>
      <c r="D1129" t="s">
        <v>74</v>
      </c>
      <c r="E1129" t="s">
        <v>27</v>
      </c>
      <c r="F1129" t="s">
        <v>28</v>
      </c>
      <c r="G1129" t="s">
        <v>75</v>
      </c>
      <c r="H1129" t="s">
        <v>30</v>
      </c>
      <c r="I1129">
        <v>30</v>
      </c>
      <c r="J1129">
        <v>20</v>
      </c>
      <c r="K1129">
        <v>3.8</v>
      </c>
      <c r="M1129">
        <v>1.08</v>
      </c>
      <c r="O1129">
        <v>65</v>
      </c>
      <c r="P1129">
        <v>99</v>
      </c>
      <c r="T1129">
        <v>2.1</v>
      </c>
      <c r="U1129">
        <v>5.2</v>
      </c>
      <c r="V1129">
        <v>11</v>
      </c>
      <c r="W1129">
        <v>563</v>
      </c>
      <c r="Y1129" t="s">
        <v>35</v>
      </c>
    </row>
    <row r="1130" spans="1:25">
      <c r="A1130" t="s">
        <v>1979</v>
      </c>
      <c r="B1130" s="2" t="str">
        <f>Hyperlink("https://www.diodes.com/datasheet/download/DMP3099LQ.pdf")</f>
        <v>https://www.diodes.com/datasheet/download/DMP3099LQ.pdf</v>
      </c>
      <c r="C1130" t="str">
        <f>Hyperlink("https://www.diodes.com/part/view/DMP3099LQ","DMP3099LQ")</f>
        <v>DMP3099LQ</v>
      </c>
      <c r="D1130" t="s">
        <v>74</v>
      </c>
      <c r="E1130" t="s">
        <v>27</v>
      </c>
      <c r="F1130" t="s">
        <v>37</v>
      </c>
      <c r="G1130" t="s">
        <v>75</v>
      </c>
      <c r="H1130" t="s">
        <v>30</v>
      </c>
      <c r="I1130">
        <v>30</v>
      </c>
      <c r="J1130">
        <v>20</v>
      </c>
      <c r="K1130">
        <v>3.8</v>
      </c>
      <c r="M1130">
        <v>1.08</v>
      </c>
      <c r="O1130">
        <v>65</v>
      </c>
      <c r="P1130">
        <v>99</v>
      </c>
      <c r="T1130">
        <v>2.1</v>
      </c>
      <c r="U1130">
        <v>5.2</v>
      </c>
      <c r="V1130">
        <v>11</v>
      </c>
      <c r="Y1130" t="s">
        <v>35</v>
      </c>
    </row>
    <row r="1131" spans="1:25">
      <c r="A1131" t="s">
        <v>1980</v>
      </c>
      <c r="B1131" s="2" t="str">
        <f>Hyperlink("https://www.diodes.com/datasheet/download/DMP3105LVT.pdf")</f>
        <v>https://www.diodes.com/datasheet/download/DMP3105LVT.pdf</v>
      </c>
      <c r="C1131" t="str">
        <f>Hyperlink("https://www.diodes.com/part/view/DMP3105LVT","DMP3105LVT")</f>
        <v>DMP3105LVT</v>
      </c>
      <c r="D1131" t="s">
        <v>74</v>
      </c>
      <c r="E1131" t="s">
        <v>27</v>
      </c>
      <c r="F1131" t="s">
        <v>28</v>
      </c>
      <c r="G1131" t="s">
        <v>75</v>
      </c>
      <c r="H1131" t="s">
        <v>30</v>
      </c>
      <c r="I1131">
        <v>30</v>
      </c>
      <c r="J1131">
        <v>12</v>
      </c>
      <c r="K1131">
        <v>3.9</v>
      </c>
      <c r="M1131">
        <v>1.75</v>
      </c>
      <c r="O1131">
        <v>75</v>
      </c>
      <c r="P1131">
        <v>98</v>
      </c>
      <c r="Q1131">
        <v>150</v>
      </c>
      <c r="T1131">
        <v>1.5</v>
      </c>
      <c r="U1131">
        <v>9</v>
      </c>
      <c r="V1131">
        <v>19.8</v>
      </c>
      <c r="W1131">
        <v>839</v>
      </c>
      <c r="Y1131" t="s">
        <v>183</v>
      </c>
    </row>
    <row r="1132" spans="1:25">
      <c r="A1132" t="s">
        <v>1981</v>
      </c>
      <c r="B1132" s="2" t="str">
        <f>Hyperlink("https://www.diodes.com/datasheet/download/DMP3125L.pdf")</f>
        <v>https://www.diodes.com/datasheet/download/DMP3125L.pdf</v>
      </c>
      <c r="C1132" t="str">
        <f>Hyperlink("https://www.diodes.com/part/view/DMP3125L","DMP3125L")</f>
        <v>DMP3125L</v>
      </c>
      <c r="D1132" t="s">
        <v>661</v>
      </c>
      <c r="E1132" t="s">
        <v>30</v>
      </c>
      <c r="F1132" t="s">
        <v>28</v>
      </c>
      <c r="G1132" t="s">
        <v>75</v>
      </c>
      <c r="H1132" t="s">
        <v>30</v>
      </c>
      <c r="I1132">
        <v>30</v>
      </c>
      <c r="J1132">
        <v>20</v>
      </c>
      <c r="K1132">
        <v>2.5</v>
      </c>
      <c r="M1132">
        <v>1.2</v>
      </c>
      <c r="O1132">
        <v>95</v>
      </c>
      <c r="P1132">
        <v>145</v>
      </c>
      <c r="T1132">
        <v>2.1</v>
      </c>
      <c r="U1132">
        <v>3.1</v>
      </c>
      <c r="W1132">
        <v>254</v>
      </c>
      <c r="X1132">
        <v>25</v>
      </c>
      <c r="Y1132" t="s">
        <v>35</v>
      </c>
    </row>
    <row r="1133" spans="1:25">
      <c r="A1133" t="s">
        <v>1982</v>
      </c>
      <c r="B1133" s="2" t="str">
        <f>Hyperlink("https://www.diodes.com/datasheet/download/DMP3130LQ.pdf")</f>
        <v>https://www.diodes.com/datasheet/download/DMP3130LQ.pdf</v>
      </c>
      <c r="C1133" t="str">
        <f>Hyperlink("https://www.diodes.com/part/view/DMP3130LQ","DMP3130LQ")</f>
        <v>DMP3130LQ</v>
      </c>
      <c r="D1133" t="s">
        <v>74</v>
      </c>
      <c r="E1133" t="s">
        <v>27</v>
      </c>
      <c r="F1133" t="s">
        <v>37</v>
      </c>
      <c r="G1133" t="s">
        <v>75</v>
      </c>
      <c r="H1133" t="s">
        <v>30</v>
      </c>
      <c r="I1133">
        <v>30</v>
      </c>
      <c r="J1133">
        <v>12</v>
      </c>
      <c r="K1133">
        <v>3.5</v>
      </c>
      <c r="M1133">
        <v>1.3</v>
      </c>
      <c r="O1133">
        <v>77</v>
      </c>
      <c r="P1133">
        <v>95</v>
      </c>
      <c r="Q1133">
        <v>150</v>
      </c>
      <c r="T1133">
        <v>1.3</v>
      </c>
      <c r="U1133">
        <v>5.9</v>
      </c>
      <c r="V1133">
        <v>12</v>
      </c>
      <c r="W1133">
        <v>432</v>
      </c>
      <c r="X1133">
        <v>15</v>
      </c>
      <c r="Y1133" t="s">
        <v>35</v>
      </c>
    </row>
    <row r="1134" spans="1:25">
      <c r="A1134" t="s">
        <v>1983</v>
      </c>
      <c r="B1134" s="2" t="str">
        <f>Hyperlink("https://www.diodes.com/datasheet/download/DMP3160L.pdf")</f>
        <v>https://www.diodes.com/datasheet/download/DMP3160L.pdf</v>
      </c>
      <c r="C1134" t="str">
        <f>Hyperlink("https://www.diodes.com/part/view/DMP3160L","DMP3160L")</f>
        <v>DMP3160L</v>
      </c>
      <c r="D1134" t="s">
        <v>74</v>
      </c>
      <c r="E1134" t="s">
        <v>27</v>
      </c>
      <c r="F1134" t="s">
        <v>28</v>
      </c>
      <c r="G1134" t="s">
        <v>75</v>
      </c>
      <c r="H1134" t="s">
        <v>30</v>
      </c>
      <c r="I1134">
        <v>30</v>
      </c>
      <c r="J1134">
        <v>20</v>
      </c>
      <c r="K1134">
        <v>2.7</v>
      </c>
      <c r="M1134">
        <v>1.08</v>
      </c>
      <c r="O1134">
        <v>122</v>
      </c>
      <c r="P1134">
        <v>190</v>
      </c>
      <c r="T1134">
        <v>2.1</v>
      </c>
      <c r="U1134">
        <v>4</v>
      </c>
      <c r="V1134">
        <v>8.2</v>
      </c>
      <c r="Y1134" t="s">
        <v>35</v>
      </c>
    </row>
    <row r="1135" spans="1:25">
      <c r="A1135" t="s">
        <v>1984</v>
      </c>
      <c r="B1135" s="2" t="str">
        <f>Hyperlink("https://www.diodes.com/datasheet/download/DMP3164LVT.pdf")</f>
        <v>https://www.diodes.com/datasheet/download/DMP3164LVT.pdf</v>
      </c>
      <c r="C1135" t="str">
        <f>Hyperlink("https://www.diodes.com/part/view/DMP3164LVT","DMP3164LVT")</f>
        <v>DMP3164LVT</v>
      </c>
      <c r="D1135" t="s">
        <v>127</v>
      </c>
      <c r="E1135" t="s">
        <v>30</v>
      </c>
      <c r="F1135" t="s">
        <v>28</v>
      </c>
      <c r="G1135" t="s">
        <v>124</v>
      </c>
      <c r="H1135" t="s">
        <v>30</v>
      </c>
      <c r="I1135">
        <v>30</v>
      </c>
      <c r="J1135">
        <v>12</v>
      </c>
      <c r="K1135">
        <v>2.8</v>
      </c>
      <c r="M1135">
        <v>1.16</v>
      </c>
      <c r="O1135">
        <v>95</v>
      </c>
      <c r="P1135">
        <v>140</v>
      </c>
      <c r="T1135">
        <v>2.1</v>
      </c>
      <c r="U1135">
        <v>4.4</v>
      </c>
      <c r="V1135">
        <v>8.6</v>
      </c>
      <c r="W1135">
        <v>324</v>
      </c>
      <c r="Y1135" t="s">
        <v>183</v>
      </c>
    </row>
    <row r="1136" spans="1:25">
      <c r="A1136" t="s">
        <v>1985</v>
      </c>
      <c r="B1136" s="2" t="str">
        <f>Hyperlink("https://www.diodes.com/datasheet/download/DMP3165L.pdf")</f>
        <v>https://www.diodes.com/datasheet/download/DMP3165L.pdf</v>
      </c>
      <c r="C1136" t="str">
        <f>Hyperlink("https://www.diodes.com/part/view/DMP3165L","DMP3165L")</f>
        <v>DMP3165L</v>
      </c>
      <c r="D1136" t="s">
        <v>74</v>
      </c>
      <c r="E1136" t="s">
        <v>30</v>
      </c>
      <c r="F1136" t="s">
        <v>28</v>
      </c>
      <c r="G1136" t="s">
        <v>75</v>
      </c>
      <c r="H1136" t="s">
        <v>30</v>
      </c>
      <c r="I1136">
        <v>30</v>
      </c>
      <c r="J1136">
        <v>20</v>
      </c>
      <c r="K1136">
        <v>3.3</v>
      </c>
      <c r="M1136">
        <v>1.3</v>
      </c>
      <c r="O1136">
        <v>90</v>
      </c>
      <c r="P1136">
        <v>134</v>
      </c>
      <c r="T1136">
        <v>2.1</v>
      </c>
      <c r="U1136">
        <v>1</v>
      </c>
      <c r="V1136">
        <v>2</v>
      </c>
      <c r="W1136">
        <v>300</v>
      </c>
      <c r="X1136">
        <v>10</v>
      </c>
      <c r="Y1136" t="s">
        <v>35</v>
      </c>
    </row>
    <row r="1137" spans="1:25">
      <c r="A1137" t="s">
        <v>1986</v>
      </c>
      <c r="B1137" s="2" t="str">
        <f>Hyperlink("https://www.diodes.com/datasheet/download/DMP3165LQ.pdf")</f>
        <v>https://www.diodes.com/datasheet/download/DMP3165LQ.pdf</v>
      </c>
      <c r="C1137" t="str">
        <f>Hyperlink("https://www.diodes.com/part/view/DMP3165LQ","DMP3165LQ")</f>
        <v>DMP3165LQ</v>
      </c>
      <c r="D1137" t="s">
        <v>74</v>
      </c>
      <c r="E1137" t="s">
        <v>27</v>
      </c>
      <c r="F1137" t="s">
        <v>37</v>
      </c>
      <c r="G1137" t="s">
        <v>75</v>
      </c>
      <c r="H1137" t="s">
        <v>30</v>
      </c>
      <c r="I1137">
        <v>30</v>
      </c>
      <c r="J1137">
        <v>20</v>
      </c>
      <c r="K1137">
        <v>3.3</v>
      </c>
      <c r="M1137">
        <v>1.3</v>
      </c>
      <c r="O1137">
        <v>90</v>
      </c>
      <c r="P1137">
        <v>134</v>
      </c>
      <c r="S1137">
        <v>1.3</v>
      </c>
      <c r="T1137">
        <v>2.1</v>
      </c>
      <c r="U1137">
        <v>1</v>
      </c>
      <c r="V1137">
        <v>2</v>
      </c>
      <c r="W1137">
        <v>300</v>
      </c>
      <c r="X1137">
        <v>10</v>
      </c>
      <c r="Y1137" t="s">
        <v>35</v>
      </c>
    </row>
    <row r="1138" spans="1:25">
      <c r="A1138" t="s">
        <v>1987</v>
      </c>
      <c r="B1138" s="2" t="str">
        <f>Hyperlink("https://www.diodes.com/datasheet/download/DMP3165SVTQ.pdf")</f>
        <v>https://www.diodes.com/datasheet/download/DMP3165SVTQ.pdf</v>
      </c>
      <c r="C1138" t="str">
        <f>Hyperlink("https://www.diodes.com/part/view/DMP3165SVTQ","DMP3165SVTQ")</f>
        <v>DMP3165SVTQ</v>
      </c>
      <c r="D1138" t="s">
        <v>1837</v>
      </c>
      <c r="E1138" t="s">
        <v>27</v>
      </c>
      <c r="F1138" t="s">
        <v>37</v>
      </c>
      <c r="G1138" t="s">
        <v>124</v>
      </c>
      <c r="H1138" t="s">
        <v>27</v>
      </c>
      <c r="I1138">
        <v>30</v>
      </c>
      <c r="J1138">
        <v>20</v>
      </c>
      <c r="K1138">
        <v>2.7</v>
      </c>
      <c r="M1138">
        <v>1.08</v>
      </c>
      <c r="O1138">
        <v>95</v>
      </c>
      <c r="P1138">
        <v>140</v>
      </c>
      <c r="S1138">
        <v>0.5</v>
      </c>
      <c r="T1138">
        <v>2.2</v>
      </c>
      <c r="U1138">
        <v>3.5</v>
      </c>
      <c r="V1138">
        <v>6.9</v>
      </c>
      <c r="W1138">
        <v>287</v>
      </c>
      <c r="X1138">
        <v>15</v>
      </c>
      <c r="Y1138" t="s">
        <v>183</v>
      </c>
    </row>
    <row r="1139" spans="1:25">
      <c r="A1139" t="s">
        <v>1988</v>
      </c>
      <c r="B1139" s="2" t="str">
        <f>Hyperlink("https://www.diodes.com/datasheet/download/DMP31D0U.pdf")</f>
        <v>https://www.diodes.com/datasheet/download/DMP31D0U.pdf</v>
      </c>
      <c r="C1139" t="str">
        <f>Hyperlink("https://www.diodes.com/part/view/DMP31D0U","DMP31D0U")</f>
        <v>DMP31D0U</v>
      </c>
      <c r="D1139" t="s">
        <v>74</v>
      </c>
      <c r="E1139" t="s">
        <v>27</v>
      </c>
      <c r="F1139" t="s">
        <v>28</v>
      </c>
      <c r="G1139" t="s">
        <v>75</v>
      </c>
      <c r="H1139" t="s">
        <v>27</v>
      </c>
      <c r="I1139">
        <v>30</v>
      </c>
      <c r="J1139">
        <v>8</v>
      </c>
      <c r="K1139">
        <v>0.67</v>
      </c>
      <c r="M1139">
        <v>0.71</v>
      </c>
      <c r="P1139">
        <v>1000</v>
      </c>
      <c r="Q1139">
        <v>1500</v>
      </c>
      <c r="R1139">
        <v>2000</v>
      </c>
      <c r="T1139">
        <v>1.1</v>
      </c>
      <c r="U1139">
        <v>0.9</v>
      </c>
      <c r="V1139" t="s">
        <v>1989</v>
      </c>
      <c r="W1139">
        <v>76</v>
      </c>
      <c r="Y1139" t="s">
        <v>35</v>
      </c>
    </row>
    <row r="1140" spans="1:25">
      <c r="A1140" t="s">
        <v>1990</v>
      </c>
      <c r="B1140" s="2" t="str">
        <f>Hyperlink("https://www.diodes.com/datasheet/download/DMP31D0UFB4.pdf")</f>
        <v>https://www.diodes.com/datasheet/download/DMP31D0UFB4.pdf</v>
      </c>
      <c r="C1140" t="str">
        <f>Hyperlink("https://www.diodes.com/part/view/DMP31D0UFB4","DMP31D0UFB4")</f>
        <v>DMP31D0UFB4</v>
      </c>
      <c r="D1140" t="s">
        <v>74</v>
      </c>
      <c r="E1140" t="s">
        <v>27</v>
      </c>
      <c r="F1140" t="s">
        <v>28</v>
      </c>
      <c r="G1140" t="s">
        <v>75</v>
      </c>
      <c r="H1140" t="s">
        <v>27</v>
      </c>
      <c r="I1140">
        <v>30</v>
      </c>
      <c r="J1140">
        <v>8</v>
      </c>
      <c r="K1140">
        <v>0.76</v>
      </c>
      <c r="M1140">
        <v>0.92</v>
      </c>
      <c r="P1140">
        <v>1000</v>
      </c>
      <c r="Q1140">
        <v>1500</v>
      </c>
      <c r="R1140">
        <v>2000</v>
      </c>
      <c r="T1140">
        <v>1.1</v>
      </c>
      <c r="U1140">
        <v>0.9</v>
      </c>
      <c r="V1140" t="s">
        <v>1989</v>
      </c>
      <c r="W1140">
        <v>76</v>
      </c>
      <c r="Y1140" t="s">
        <v>901</v>
      </c>
    </row>
    <row r="1141" spans="1:25">
      <c r="A1141" t="s">
        <v>1991</v>
      </c>
      <c r="B1141" s="2" t="str">
        <f>Hyperlink("https://www.diodes.com/datasheet/download/DMP31D1U.pdf")</f>
        <v>https://www.diodes.com/datasheet/download/DMP31D1U.pdf</v>
      </c>
      <c r="C1141" t="str">
        <f>Hyperlink("https://www.diodes.com/part/view/DMP31D1U","DMP31D1U")</f>
        <v>DMP31D1U</v>
      </c>
      <c r="D1141" t="s">
        <v>1900</v>
      </c>
      <c r="E1141" t="s">
        <v>30</v>
      </c>
      <c r="F1141" t="s">
        <v>28</v>
      </c>
      <c r="G1141" t="s">
        <v>75</v>
      </c>
      <c r="H1141" t="s">
        <v>27</v>
      </c>
      <c r="I1141">
        <v>30</v>
      </c>
      <c r="J1141">
        <v>8</v>
      </c>
      <c r="K1141">
        <v>0.62</v>
      </c>
      <c r="M1141">
        <v>0.58</v>
      </c>
      <c r="P1141">
        <v>1000</v>
      </c>
      <c r="Q1141">
        <v>1500</v>
      </c>
      <c r="R1141">
        <v>2000</v>
      </c>
      <c r="S1141">
        <v>0.5</v>
      </c>
      <c r="T1141">
        <v>1.1</v>
      </c>
      <c r="U1141">
        <v>1</v>
      </c>
      <c r="W1141">
        <v>54</v>
      </c>
      <c r="X1141">
        <v>15</v>
      </c>
      <c r="Y1141" t="s">
        <v>35</v>
      </c>
    </row>
    <row r="1142" spans="1:25">
      <c r="A1142" t="s">
        <v>1992</v>
      </c>
      <c r="B1142" s="2" t="str">
        <f>Hyperlink("https://www.diodes.com/datasheet/download/DMP31D1UDW.pdf")</f>
        <v>https://www.diodes.com/datasheet/download/DMP31D1UDW.pdf</v>
      </c>
      <c r="C1142" t="str">
        <f>Hyperlink("https://www.diodes.com/part/view/DMP31D1UDW","DMP31D1UDW")</f>
        <v>DMP31D1UDW</v>
      </c>
      <c r="D1142" t="s">
        <v>1837</v>
      </c>
      <c r="E1142" t="s">
        <v>30</v>
      </c>
      <c r="F1142" t="s">
        <v>28</v>
      </c>
      <c r="G1142" t="s">
        <v>124</v>
      </c>
      <c r="H1142" t="s">
        <v>30</v>
      </c>
      <c r="I1142">
        <v>30</v>
      </c>
      <c r="J1142">
        <v>8</v>
      </c>
      <c r="K1142">
        <v>0.6</v>
      </c>
      <c r="M1142">
        <v>0.57</v>
      </c>
      <c r="P1142">
        <v>1000</v>
      </c>
      <c r="Q1142">
        <v>1500</v>
      </c>
      <c r="R1142">
        <v>2000</v>
      </c>
      <c r="S1142">
        <v>0.5</v>
      </c>
      <c r="T1142">
        <v>1.1</v>
      </c>
      <c r="U1142">
        <v>1</v>
      </c>
      <c r="W1142">
        <v>54</v>
      </c>
      <c r="X1142">
        <v>15</v>
      </c>
      <c r="Y1142" t="s">
        <v>42</v>
      </c>
    </row>
    <row r="1143" spans="1:25">
      <c r="A1143" t="s">
        <v>1993</v>
      </c>
      <c r="B1143" s="2" t="str">
        <f>Hyperlink("https://www.diodes.com/datasheet/download/DMP31D1UDWQ.pdf")</f>
        <v>https://www.diodes.com/datasheet/download/DMP31D1UDWQ.pdf</v>
      </c>
      <c r="C1143" t="str">
        <f>Hyperlink("https://www.diodes.com/part/view/DMP31D1UDWQ","DMP31D1UDWQ")</f>
        <v>DMP31D1UDWQ</v>
      </c>
      <c r="D1143" t="s">
        <v>1837</v>
      </c>
      <c r="E1143" t="s">
        <v>27</v>
      </c>
      <c r="F1143" t="s">
        <v>37</v>
      </c>
      <c r="G1143" t="s">
        <v>124</v>
      </c>
      <c r="H1143" t="s">
        <v>30</v>
      </c>
      <c r="I1143">
        <v>30</v>
      </c>
      <c r="J1143">
        <v>8</v>
      </c>
      <c r="K1143">
        <v>0.6</v>
      </c>
      <c r="M1143">
        <v>0.57</v>
      </c>
      <c r="P1143">
        <v>1000</v>
      </c>
      <c r="Q1143">
        <v>1500</v>
      </c>
      <c r="R1143">
        <v>2000</v>
      </c>
      <c r="S1143">
        <v>0.5</v>
      </c>
      <c r="T1143">
        <v>1.1</v>
      </c>
      <c r="U1143">
        <v>1</v>
      </c>
      <c r="W1143">
        <v>54</v>
      </c>
      <c r="X1143">
        <v>15</v>
      </c>
      <c r="Y1143" t="s">
        <v>42</v>
      </c>
    </row>
    <row r="1144" spans="1:25">
      <c r="A1144" t="s">
        <v>1994</v>
      </c>
      <c r="B1144" s="2" t="str">
        <f>Hyperlink("https://www.diodes.com/datasheet/download/DMP31D1UFB4.pdf")</f>
        <v>https://www.diodes.com/datasheet/download/DMP31D1UFB4.pdf</v>
      </c>
      <c r="C1144" t="str">
        <f>Hyperlink("https://www.diodes.com/part/view/DMP31D1UFB4","DMP31D1UFB4")</f>
        <v>DMP31D1UFB4</v>
      </c>
      <c r="D1144" t="s">
        <v>1900</v>
      </c>
      <c r="E1144" t="s">
        <v>30</v>
      </c>
      <c r="F1144" t="s">
        <v>28</v>
      </c>
      <c r="G1144" t="s">
        <v>75</v>
      </c>
      <c r="H1144" t="s">
        <v>27</v>
      </c>
      <c r="I1144">
        <v>30</v>
      </c>
      <c r="J1144">
        <v>8</v>
      </c>
      <c r="K1144">
        <v>0.9</v>
      </c>
      <c r="M1144">
        <v>1.2</v>
      </c>
      <c r="P1144">
        <v>1000</v>
      </c>
      <c r="Q1144">
        <v>1500</v>
      </c>
      <c r="R1144">
        <v>2000</v>
      </c>
      <c r="S1144">
        <v>0.5</v>
      </c>
      <c r="T1144">
        <v>1.1</v>
      </c>
      <c r="U1144">
        <v>1</v>
      </c>
      <c r="W1144">
        <v>54</v>
      </c>
      <c r="X1144">
        <v>15</v>
      </c>
      <c r="Y1144" t="s">
        <v>901</v>
      </c>
    </row>
    <row r="1145" spans="1:25">
      <c r="A1145" t="s">
        <v>1995</v>
      </c>
      <c r="B1145" s="2" t="str">
        <f>Hyperlink("https://www.diodes.com/datasheet/download/DMP31D1UFB4Q.pdf")</f>
        <v>https://www.diodes.com/datasheet/download/DMP31D1UFB4Q.pdf</v>
      </c>
      <c r="C1145" t="str">
        <f>Hyperlink("https://www.diodes.com/part/view/DMP31D1UFB4Q","DMP31D1UFB4Q")</f>
        <v>DMP31D1UFB4Q</v>
      </c>
      <c r="D1145" t="s">
        <v>1900</v>
      </c>
      <c r="E1145" t="s">
        <v>27</v>
      </c>
      <c r="F1145" t="s">
        <v>37</v>
      </c>
      <c r="G1145" t="s">
        <v>75</v>
      </c>
      <c r="H1145" t="s">
        <v>27</v>
      </c>
      <c r="I1145">
        <v>30</v>
      </c>
      <c r="J1145">
        <v>8</v>
      </c>
      <c r="K1145">
        <v>0.9</v>
      </c>
      <c r="M1145">
        <v>1.2</v>
      </c>
      <c r="P1145">
        <v>1000</v>
      </c>
      <c r="Q1145">
        <v>1500</v>
      </c>
      <c r="R1145">
        <v>2000</v>
      </c>
      <c r="S1145">
        <v>0.5</v>
      </c>
      <c r="T1145">
        <v>1.1</v>
      </c>
      <c r="U1145">
        <v>1</v>
      </c>
      <c r="W1145">
        <v>54</v>
      </c>
      <c r="X1145">
        <v>15</v>
      </c>
      <c r="Y1145" t="s">
        <v>901</v>
      </c>
    </row>
    <row r="1146" spans="1:25">
      <c r="A1146" t="s">
        <v>1996</v>
      </c>
      <c r="B1146" s="2" t="str">
        <f>Hyperlink("https://www.diodes.com/datasheet/download/DMP31D1UQ.pdf")</f>
        <v>https://www.diodes.com/datasheet/download/DMP31D1UQ.pdf</v>
      </c>
      <c r="C1146" t="str">
        <f>Hyperlink("https://www.diodes.com/part/view/DMP31D1UQ","DMP31D1UQ")</f>
        <v>DMP31D1UQ</v>
      </c>
      <c r="D1146" t="s">
        <v>1900</v>
      </c>
      <c r="E1146" t="s">
        <v>27</v>
      </c>
      <c r="F1146" t="s">
        <v>37</v>
      </c>
      <c r="G1146" t="s">
        <v>75</v>
      </c>
      <c r="H1146" t="s">
        <v>27</v>
      </c>
      <c r="I1146">
        <v>30</v>
      </c>
      <c r="J1146">
        <v>8</v>
      </c>
      <c r="K1146">
        <v>0.62</v>
      </c>
      <c r="M1146">
        <v>0.58</v>
      </c>
      <c r="P1146">
        <v>1000</v>
      </c>
      <c r="Q1146">
        <v>1500</v>
      </c>
      <c r="R1146">
        <v>2000</v>
      </c>
      <c r="S1146">
        <v>0.5</v>
      </c>
      <c r="T1146">
        <v>1.1</v>
      </c>
      <c r="U1146">
        <v>1</v>
      </c>
      <c r="W1146">
        <v>54</v>
      </c>
      <c r="X1146">
        <v>15</v>
      </c>
      <c r="Y1146" t="s">
        <v>35</v>
      </c>
    </row>
    <row r="1147" spans="1:25">
      <c r="A1147" t="s">
        <v>1997</v>
      </c>
      <c r="B1147" s="2" t="str">
        <f>Hyperlink("https://www.diodes.com/datasheet/download/DMP31D1UVT.pdf")</f>
        <v>https://www.diodes.com/datasheet/download/DMP31D1UVT.pdf</v>
      </c>
      <c r="C1147" t="str">
        <f>Hyperlink("https://www.diodes.com/part/view/DMP31D1UVT","DMP31D1UVT")</f>
        <v>DMP31D1UVT</v>
      </c>
      <c r="D1147" t="s">
        <v>1837</v>
      </c>
      <c r="E1147" t="s">
        <v>30</v>
      </c>
      <c r="F1147" t="s">
        <v>28</v>
      </c>
      <c r="G1147" t="s">
        <v>124</v>
      </c>
      <c r="H1147" t="s">
        <v>30</v>
      </c>
      <c r="I1147">
        <v>30</v>
      </c>
      <c r="J1147">
        <v>8</v>
      </c>
      <c r="K1147">
        <v>0.7</v>
      </c>
      <c r="M1147">
        <v>0.9</v>
      </c>
      <c r="P1147">
        <v>1000</v>
      </c>
      <c r="Q1147">
        <v>1500</v>
      </c>
      <c r="R1147">
        <v>2000</v>
      </c>
      <c r="S1147">
        <v>0.5</v>
      </c>
      <c r="T1147">
        <v>1.1</v>
      </c>
      <c r="U1147">
        <v>1</v>
      </c>
      <c r="W1147">
        <v>50</v>
      </c>
      <c r="X1147">
        <v>15</v>
      </c>
      <c r="Y1147" t="s">
        <v>183</v>
      </c>
    </row>
    <row r="1148" spans="1:25">
      <c r="A1148" t="s">
        <v>1998</v>
      </c>
      <c r="B1148" s="2" t="str">
        <f>Hyperlink("https://www.diodes.com/datasheet/download/DMP31D1UVTQ.pdf")</f>
        <v>https://www.diodes.com/datasheet/download/DMP31D1UVTQ.pdf</v>
      </c>
      <c r="C1148" t="str">
        <f>Hyperlink("https://www.diodes.com/part/view/DMP31D1UVTQ","DMP31D1UVTQ")</f>
        <v>DMP31D1UVTQ</v>
      </c>
      <c r="D1148" t="s">
        <v>1837</v>
      </c>
      <c r="E1148" t="s">
        <v>27</v>
      </c>
      <c r="F1148" t="s">
        <v>37</v>
      </c>
      <c r="G1148" t="s">
        <v>124</v>
      </c>
      <c r="H1148" t="s">
        <v>30</v>
      </c>
      <c r="I1148">
        <v>30</v>
      </c>
      <c r="J1148">
        <v>8</v>
      </c>
      <c r="K1148">
        <v>0.7</v>
      </c>
      <c r="M1148">
        <v>0.9</v>
      </c>
      <c r="P1148">
        <v>1000</v>
      </c>
      <c r="Q1148">
        <v>1500</v>
      </c>
      <c r="R1148">
        <v>2000</v>
      </c>
      <c r="S1148">
        <v>0.5</v>
      </c>
      <c r="T1148">
        <v>1.1</v>
      </c>
      <c r="U1148">
        <v>1</v>
      </c>
      <c r="W1148">
        <v>50</v>
      </c>
      <c r="X1148">
        <v>15</v>
      </c>
      <c r="Y1148" t="s">
        <v>183</v>
      </c>
    </row>
    <row r="1149" spans="1:25">
      <c r="A1149" t="s">
        <v>1999</v>
      </c>
      <c r="B1149" s="2" t="str">
        <f>Hyperlink("https://www.diodes.com/datasheet/download/DMP31D1UW.pdf")</f>
        <v>https://www.diodes.com/datasheet/download/DMP31D1UW.pdf</v>
      </c>
      <c r="C1149" t="str">
        <f>Hyperlink("https://www.diodes.com/part/view/DMP31D1UW","DMP31D1UW")</f>
        <v>DMP31D1UW</v>
      </c>
      <c r="D1149" t="s">
        <v>1645</v>
      </c>
      <c r="E1149" t="s">
        <v>30</v>
      </c>
      <c r="F1149" t="s">
        <v>28</v>
      </c>
      <c r="G1149" t="s">
        <v>75</v>
      </c>
      <c r="H1149" t="s">
        <v>30</v>
      </c>
      <c r="I1149">
        <v>30</v>
      </c>
      <c r="J1149">
        <v>8</v>
      </c>
      <c r="K1149">
        <v>0.6</v>
      </c>
      <c r="M1149">
        <v>0.57</v>
      </c>
      <c r="P1149">
        <v>1000</v>
      </c>
      <c r="Q1149">
        <v>1500</v>
      </c>
      <c r="R1149">
        <v>2000</v>
      </c>
      <c r="S1149">
        <v>0.5</v>
      </c>
      <c r="T1149">
        <v>1.1</v>
      </c>
      <c r="U1149">
        <v>1</v>
      </c>
      <c r="W1149">
        <v>54</v>
      </c>
      <c r="X1149">
        <v>15</v>
      </c>
      <c r="Y1149" t="s">
        <v>92</v>
      </c>
    </row>
    <row r="1150" spans="1:25">
      <c r="A1150" t="s">
        <v>2000</v>
      </c>
      <c r="B1150" s="2" t="str">
        <f>Hyperlink("https://www.diodes.com/datasheet/download/DMP31D1UWQ.pdf")</f>
        <v>https://www.diodes.com/datasheet/download/DMP31D1UWQ.pdf</v>
      </c>
      <c r="C1150" t="str">
        <f>Hyperlink("https://www.diodes.com/part/view/DMP31D1UWQ","DMP31D1UWQ")</f>
        <v>DMP31D1UWQ</v>
      </c>
      <c r="D1150" t="s">
        <v>1645</v>
      </c>
      <c r="E1150" t="s">
        <v>27</v>
      </c>
      <c r="F1150" t="s">
        <v>37</v>
      </c>
      <c r="G1150" t="s">
        <v>75</v>
      </c>
      <c r="H1150" t="s">
        <v>30</v>
      </c>
      <c r="I1150">
        <v>30</v>
      </c>
      <c r="J1150">
        <v>8</v>
      </c>
      <c r="K1150">
        <v>0.6</v>
      </c>
      <c r="M1150">
        <v>0.57</v>
      </c>
      <c r="P1150">
        <v>1000</v>
      </c>
      <c r="Q1150">
        <v>1500</v>
      </c>
      <c r="R1150">
        <v>2000</v>
      </c>
      <c r="S1150">
        <v>0.5</v>
      </c>
      <c r="T1150">
        <v>1.1</v>
      </c>
      <c r="U1150">
        <v>1</v>
      </c>
      <c r="W1150">
        <v>54</v>
      </c>
      <c r="X1150">
        <v>15</v>
      </c>
      <c r="Y1150" t="s">
        <v>92</v>
      </c>
    </row>
    <row r="1151" spans="1:25">
      <c r="A1151" t="s">
        <v>2001</v>
      </c>
      <c r="B1151" s="2" t="str">
        <f>Hyperlink("https://www.diodes.com/datasheet/download/DMP31D7L.pdf")</f>
        <v>https://www.diodes.com/datasheet/download/DMP31D7L.pdf</v>
      </c>
      <c r="C1151" t="str">
        <f>Hyperlink("https://www.diodes.com/part/view/DMP31D7L","DMP31D7L")</f>
        <v>DMP31D7L</v>
      </c>
      <c r="D1151" t="s">
        <v>74</v>
      </c>
      <c r="E1151" t="s">
        <v>30</v>
      </c>
      <c r="F1151" t="s">
        <v>28</v>
      </c>
      <c r="G1151" t="s">
        <v>75</v>
      </c>
      <c r="H1151" t="s">
        <v>27</v>
      </c>
      <c r="I1151">
        <v>30</v>
      </c>
      <c r="J1151">
        <v>20</v>
      </c>
      <c r="K1151">
        <v>0.58</v>
      </c>
      <c r="M1151">
        <v>0.46</v>
      </c>
      <c r="O1151">
        <v>900</v>
      </c>
      <c r="P1151">
        <v>1700</v>
      </c>
      <c r="T1151">
        <v>2.6</v>
      </c>
      <c r="U1151">
        <v>0.36</v>
      </c>
      <c r="W1151">
        <v>19</v>
      </c>
      <c r="X1151">
        <v>15</v>
      </c>
      <c r="Y1151" t="s">
        <v>35</v>
      </c>
    </row>
    <row r="1152" spans="1:25">
      <c r="A1152" t="s">
        <v>2002</v>
      </c>
      <c r="B1152" s="2" t="str">
        <f>Hyperlink("https://www.diodes.com/datasheet/download/DMP31D7LDW+.pdf")</f>
        <v>https://www.diodes.com/datasheet/download/DMP31D7LDW+.pdf</v>
      </c>
      <c r="C1152" t="str">
        <f>Hyperlink("https://www.diodes.com/part/view/DMP31D7LDW","DMP31D7LDW")</f>
        <v>DMP31D7LDW</v>
      </c>
      <c r="D1152" t="s">
        <v>127</v>
      </c>
      <c r="E1152" t="s">
        <v>30</v>
      </c>
      <c r="F1152" t="s">
        <v>28</v>
      </c>
      <c r="G1152" t="s">
        <v>124</v>
      </c>
      <c r="H1152" t="s">
        <v>27</v>
      </c>
      <c r="I1152">
        <v>30</v>
      </c>
      <c r="J1152">
        <v>20</v>
      </c>
      <c r="K1152">
        <v>0.55</v>
      </c>
      <c r="M1152">
        <v>0.4</v>
      </c>
      <c r="O1152">
        <v>900</v>
      </c>
      <c r="P1152">
        <v>1700</v>
      </c>
      <c r="T1152">
        <v>2.6</v>
      </c>
      <c r="U1152">
        <v>0.36</v>
      </c>
      <c r="V1152">
        <v>0.8</v>
      </c>
      <c r="W1152">
        <v>19</v>
      </c>
      <c r="X1152">
        <v>15</v>
      </c>
      <c r="Y1152" t="s">
        <v>42</v>
      </c>
    </row>
    <row r="1153" spans="1:25">
      <c r="A1153" t="s">
        <v>2003</v>
      </c>
      <c r="B1153" s="2" t="str">
        <f>Hyperlink("https://www.diodes.com/datasheet/download/DMP31D7LDWQ.pdf")</f>
        <v>https://www.diodes.com/datasheet/download/DMP31D7LDWQ.pdf</v>
      </c>
      <c r="C1153" t="str">
        <f>Hyperlink("https://www.diodes.com/part/view/DMP31D7LDWQ","DMP31D7LDWQ")</f>
        <v>DMP31D7LDWQ</v>
      </c>
      <c r="D1153" t="s">
        <v>127</v>
      </c>
      <c r="E1153" t="s">
        <v>27</v>
      </c>
      <c r="F1153" t="s">
        <v>37</v>
      </c>
      <c r="G1153" t="s">
        <v>124</v>
      </c>
      <c r="H1153" t="s">
        <v>27</v>
      </c>
      <c r="I1153">
        <v>30</v>
      </c>
      <c r="J1153">
        <v>20</v>
      </c>
      <c r="K1153">
        <v>0.55</v>
      </c>
      <c r="M1153">
        <v>0.4</v>
      </c>
      <c r="O1153">
        <v>900</v>
      </c>
      <c r="P1153">
        <v>1700</v>
      </c>
      <c r="T1153">
        <v>2.6</v>
      </c>
      <c r="U1153">
        <v>0.36</v>
      </c>
      <c r="V1153">
        <v>0.8</v>
      </c>
      <c r="Y1153" t="s">
        <v>42</v>
      </c>
    </row>
    <row r="1154" spans="1:25">
      <c r="A1154" t="s">
        <v>2004</v>
      </c>
      <c r="B1154" s="2" t="str">
        <f>Hyperlink("https://www.diodes.com/datasheet/download/DMP31D7LFB.pdf")</f>
        <v>https://www.diodes.com/datasheet/download/DMP31D7LFB.pdf</v>
      </c>
      <c r="C1154" t="str">
        <f>Hyperlink("https://www.diodes.com/part/view/DMP31D7LFB","DMP31D7LFB")</f>
        <v>DMP31D7LFB</v>
      </c>
      <c r="D1154" t="s">
        <v>74</v>
      </c>
      <c r="E1154" t="s">
        <v>30</v>
      </c>
      <c r="F1154" t="s">
        <v>28</v>
      </c>
      <c r="G1154" t="s">
        <v>75</v>
      </c>
      <c r="H1154" t="s">
        <v>27</v>
      </c>
      <c r="I1154">
        <v>30</v>
      </c>
      <c r="J1154">
        <v>20</v>
      </c>
      <c r="K1154">
        <v>0.81</v>
      </c>
      <c r="M1154">
        <v>0.89</v>
      </c>
      <c r="O1154">
        <v>900</v>
      </c>
      <c r="P1154">
        <v>1700</v>
      </c>
      <c r="T1154">
        <v>2.6</v>
      </c>
      <c r="U1154">
        <v>0.36</v>
      </c>
      <c r="W1154">
        <v>19</v>
      </c>
      <c r="X1154">
        <v>15</v>
      </c>
      <c r="Y1154" t="s">
        <v>846</v>
      </c>
    </row>
    <row r="1155" spans="1:25">
      <c r="A1155" t="s">
        <v>2005</v>
      </c>
      <c r="B1155" s="2" t="str">
        <f>Hyperlink("https://www.diodes.com/datasheet/download/DMP31D7LFBQ.pdf")</f>
        <v>https://www.diodes.com/datasheet/download/DMP31D7LFBQ.pdf</v>
      </c>
      <c r="C1155" t="str">
        <f>Hyperlink("https://www.diodes.com/part/view/DMP31D7LFBQ","DMP31D7LFBQ")</f>
        <v>DMP31D7LFBQ</v>
      </c>
      <c r="D1155" t="s">
        <v>74</v>
      </c>
      <c r="E1155" t="s">
        <v>27</v>
      </c>
      <c r="F1155" t="s">
        <v>37</v>
      </c>
      <c r="G1155" t="s">
        <v>75</v>
      </c>
      <c r="H1155" t="s">
        <v>27</v>
      </c>
      <c r="I1155">
        <v>30</v>
      </c>
      <c r="J1155">
        <v>20</v>
      </c>
      <c r="K1155">
        <v>0.81</v>
      </c>
      <c r="M1155">
        <v>0.89</v>
      </c>
      <c r="O1155">
        <v>900</v>
      </c>
      <c r="P1155">
        <v>1700</v>
      </c>
      <c r="T1155">
        <v>2.6</v>
      </c>
      <c r="U1155">
        <v>0.36</v>
      </c>
      <c r="W1155">
        <v>19</v>
      </c>
      <c r="X1155">
        <v>15</v>
      </c>
      <c r="Y1155" t="s">
        <v>846</v>
      </c>
    </row>
    <row r="1156" spans="1:25">
      <c r="A1156" t="s">
        <v>2006</v>
      </c>
      <c r="B1156" s="2" t="str">
        <f>Hyperlink("https://www.diodes.com/datasheet/download/DMP31D7LQ.pdf")</f>
        <v>https://www.diodes.com/datasheet/download/DMP31D7LQ.pdf</v>
      </c>
      <c r="C1156" t="str">
        <f>Hyperlink("https://www.diodes.com/part/view/DMP31D7LQ","DMP31D7LQ")</f>
        <v>DMP31D7LQ</v>
      </c>
      <c r="D1156" t="s">
        <v>74</v>
      </c>
      <c r="E1156" t="s">
        <v>27</v>
      </c>
      <c r="F1156" t="s">
        <v>37</v>
      </c>
      <c r="G1156" t="s">
        <v>75</v>
      </c>
      <c r="H1156" t="s">
        <v>27</v>
      </c>
      <c r="I1156">
        <v>30</v>
      </c>
      <c r="J1156">
        <v>20</v>
      </c>
      <c r="K1156">
        <v>0.58</v>
      </c>
      <c r="M1156">
        <v>0.46</v>
      </c>
      <c r="O1156">
        <v>900</v>
      </c>
      <c r="P1156">
        <v>1700</v>
      </c>
      <c r="S1156">
        <v>1</v>
      </c>
      <c r="T1156">
        <v>2.6</v>
      </c>
      <c r="U1156">
        <v>0.36</v>
      </c>
      <c r="W1156">
        <v>19</v>
      </c>
      <c r="X1156">
        <v>15</v>
      </c>
      <c r="Y1156" t="s">
        <v>35</v>
      </c>
    </row>
    <row r="1157" spans="1:25">
      <c r="A1157" t="s">
        <v>2007</v>
      </c>
      <c r="B1157" s="2" t="str">
        <f>Hyperlink("https://www.diodes.com/datasheet/download/DMP31D7LT.pdf")</f>
        <v>https://www.diodes.com/datasheet/download/DMP31D7LT.pdf</v>
      </c>
      <c r="C1157" t="str">
        <f>Hyperlink("https://www.diodes.com/part/view/DMP31D7LT","DMP31D7LT")</f>
        <v>DMP31D7LT</v>
      </c>
      <c r="D1157" t="s">
        <v>74</v>
      </c>
      <c r="E1157" t="s">
        <v>30</v>
      </c>
      <c r="F1157" t="s">
        <v>28</v>
      </c>
      <c r="G1157" t="s">
        <v>75</v>
      </c>
      <c r="H1157" t="s">
        <v>27</v>
      </c>
      <c r="I1157">
        <v>30</v>
      </c>
      <c r="J1157">
        <v>20</v>
      </c>
      <c r="K1157">
        <v>0.36</v>
      </c>
      <c r="M1157">
        <v>0.33</v>
      </c>
      <c r="O1157">
        <v>900</v>
      </c>
      <c r="P1157">
        <v>1700</v>
      </c>
      <c r="S1157">
        <v>1</v>
      </c>
      <c r="T1157">
        <v>2.6</v>
      </c>
      <c r="U1157">
        <v>0.36</v>
      </c>
      <c r="W1157">
        <v>19</v>
      </c>
      <c r="X1157">
        <v>15</v>
      </c>
      <c r="Y1157" t="s">
        <v>56</v>
      </c>
    </row>
    <row r="1158" spans="1:25">
      <c r="A1158" t="s">
        <v>2008</v>
      </c>
      <c r="B1158" s="2" t="str">
        <f>Hyperlink("https://www.diodes.com/datasheet/download/DMP31D7LTQ.pdf")</f>
        <v>https://www.diodes.com/datasheet/download/DMP31D7LTQ.pdf</v>
      </c>
      <c r="C1158" t="str">
        <f>Hyperlink("https://www.diodes.com/part/view/DMP31D7LTQ","DMP31D7LTQ")</f>
        <v>DMP31D7LTQ</v>
      </c>
      <c r="D1158" t="s">
        <v>1645</v>
      </c>
      <c r="E1158" t="s">
        <v>27</v>
      </c>
      <c r="F1158" t="s">
        <v>37</v>
      </c>
      <c r="G1158" t="s">
        <v>75</v>
      </c>
      <c r="H1158" t="s">
        <v>27</v>
      </c>
      <c r="I1158">
        <v>30</v>
      </c>
      <c r="J1158">
        <v>20</v>
      </c>
      <c r="K1158">
        <v>0.36</v>
      </c>
      <c r="M1158">
        <v>0.33</v>
      </c>
      <c r="O1158">
        <v>900</v>
      </c>
      <c r="P1158">
        <v>1700</v>
      </c>
      <c r="S1158">
        <v>1</v>
      </c>
      <c r="T1158">
        <v>2.6</v>
      </c>
      <c r="U1158">
        <v>0.36</v>
      </c>
      <c r="W1158">
        <v>19</v>
      </c>
      <c r="X1158">
        <v>15</v>
      </c>
      <c r="Y1158" t="s">
        <v>56</v>
      </c>
    </row>
    <row r="1159" spans="1:25">
      <c r="A1159" t="s">
        <v>2009</v>
      </c>
      <c r="B1159" s="2" t="str">
        <f>Hyperlink("https://www.diodes.com/datasheet/download/DMP31D7LV.pdf")</f>
        <v>https://www.diodes.com/datasheet/download/DMP31D7LV.pdf</v>
      </c>
      <c r="C1159" t="str">
        <f>Hyperlink("https://www.diodes.com/part/view/DMP31D7LV","DMP31D7LV")</f>
        <v>DMP31D7LV</v>
      </c>
      <c r="D1159" t="s">
        <v>127</v>
      </c>
      <c r="E1159" t="s">
        <v>30</v>
      </c>
      <c r="F1159" t="s">
        <v>28</v>
      </c>
      <c r="G1159" t="s">
        <v>124</v>
      </c>
      <c r="H1159" t="s">
        <v>27</v>
      </c>
      <c r="I1159">
        <v>30</v>
      </c>
      <c r="J1159">
        <v>20</v>
      </c>
      <c r="K1159">
        <v>0.62</v>
      </c>
      <c r="M1159">
        <v>0.8</v>
      </c>
      <c r="O1159">
        <v>900</v>
      </c>
      <c r="P1159">
        <v>1700</v>
      </c>
      <c r="S1159">
        <v>1</v>
      </c>
      <c r="T1159">
        <v>2.6</v>
      </c>
      <c r="U1159">
        <v>0.36</v>
      </c>
      <c r="V1159">
        <v>0.8</v>
      </c>
      <c r="W1159">
        <v>19</v>
      </c>
      <c r="X1159">
        <v>15</v>
      </c>
      <c r="Y1159" t="s">
        <v>60</v>
      </c>
    </row>
    <row r="1160" spans="1:25">
      <c r="A1160" t="s">
        <v>2010</v>
      </c>
      <c r="B1160" s="2" t="str">
        <f>Hyperlink("https://www.diodes.com/datasheet/download/DMP31D7LVQ.pdf")</f>
        <v>https://www.diodes.com/datasheet/download/DMP31D7LVQ.pdf</v>
      </c>
      <c r="C1160" t="str">
        <f>Hyperlink("https://www.diodes.com/part/view/DMP31D7LVQ","DMP31D7LVQ")</f>
        <v>DMP31D7LVQ</v>
      </c>
      <c r="D1160" t="s">
        <v>127</v>
      </c>
      <c r="E1160" t="s">
        <v>27</v>
      </c>
      <c r="F1160" t="s">
        <v>37</v>
      </c>
      <c r="G1160" t="s">
        <v>124</v>
      </c>
      <c r="H1160" t="s">
        <v>27</v>
      </c>
      <c r="I1160">
        <v>30</v>
      </c>
      <c r="J1160">
        <v>20</v>
      </c>
      <c r="K1160">
        <v>0.62</v>
      </c>
      <c r="M1160">
        <v>0.8</v>
      </c>
      <c r="O1160">
        <v>900</v>
      </c>
      <c r="P1160">
        <v>1700</v>
      </c>
      <c r="S1160">
        <v>1</v>
      </c>
      <c r="T1160">
        <v>2.6</v>
      </c>
      <c r="U1160">
        <v>0.36</v>
      </c>
      <c r="V1160">
        <v>0.8</v>
      </c>
      <c r="W1160">
        <v>19</v>
      </c>
      <c r="X1160">
        <v>15</v>
      </c>
      <c r="Y1160" t="s">
        <v>60</v>
      </c>
    </row>
    <row r="1161" spans="1:25">
      <c r="A1161" t="s">
        <v>2011</v>
      </c>
      <c r="B1161" s="2" t="str">
        <f>Hyperlink("https://www.diodes.com/datasheet/download/DMP31D7LW.pdf")</f>
        <v>https://www.diodes.com/datasheet/download/DMP31D7LW.pdf</v>
      </c>
      <c r="C1161" t="str">
        <f>Hyperlink("https://www.diodes.com/part/view/DMP31D7LW","DMP31D7LW")</f>
        <v>DMP31D7LW</v>
      </c>
      <c r="D1161" t="s">
        <v>74</v>
      </c>
      <c r="E1161" t="s">
        <v>30</v>
      </c>
      <c r="F1161" t="s">
        <v>28</v>
      </c>
      <c r="G1161" t="s">
        <v>75</v>
      </c>
      <c r="H1161" t="s">
        <v>27</v>
      </c>
      <c r="I1161">
        <v>30</v>
      </c>
      <c r="J1161">
        <v>20</v>
      </c>
      <c r="K1161">
        <v>0.52</v>
      </c>
      <c r="M1161">
        <v>0.37</v>
      </c>
      <c r="O1161">
        <v>900</v>
      </c>
      <c r="P1161">
        <v>1700</v>
      </c>
      <c r="T1161">
        <v>2.6</v>
      </c>
      <c r="U1161">
        <v>0.36</v>
      </c>
      <c r="W1161">
        <v>19</v>
      </c>
      <c r="X1161">
        <v>15</v>
      </c>
      <c r="Y1161" t="s">
        <v>92</v>
      </c>
    </row>
    <row r="1162" spans="1:25">
      <c r="A1162" t="s">
        <v>2012</v>
      </c>
      <c r="B1162" s="2" t="str">
        <f>Hyperlink("https://www.diodes.com/datasheet/download/DMP31D7LWQ.pdf")</f>
        <v>https://www.diodes.com/datasheet/download/DMP31D7LWQ.pdf</v>
      </c>
      <c r="C1162" t="str">
        <f>Hyperlink("https://www.diodes.com/part/view/DMP31D7LWQ","DMP31D7LWQ")</f>
        <v>DMP31D7LWQ</v>
      </c>
      <c r="D1162" t="s">
        <v>1645</v>
      </c>
      <c r="E1162" t="s">
        <v>27</v>
      </c>
      <c r="F1162" t="s">
        <v>37</v>
      </c>
      <c r="G1162" t="s">
        <v>75</v>
      </c>
      <c r="H1162" t="s">
        <v>27</v>
      </c>
      <c r="I1162">
        <v>30</v>
      </c>
      <c r="J1162">
        <v>20</v>
      </c>
      <c r="K1162">
        <v>0.52</v>
      </c>
      <c r="M1162">
        <v>0.37</v>
      </c>
      <c r="O1162">
        <v>900</v>
      </c>
      <c r="P1162">
        <v>1700</v>
      </c>
      <c r="S1162">
        <v>1</v>
      </c>
      <c r="T1162">
        <v>2.6</v>
      </c>
      <c r="U1162">
        <v>0.36</v>
      </c>
      <c r="W1162">
        <v>19</v>
      </c>
      <c r="X1162">
        <v>15</v>
      </c>
      <c r="Y1162" t="s">
        <v>92</v>
      </c>
    </row>
    <row r="1163" spans="1:25">
      <c r="A1163" t="s">
        <v>2013</v>
      </c>
      <c r="B1163" s="2" t="str">
        <f>Hyperlink("https://www.diodes.com/datasheet/download/DMP32D4S.pdf")</f>
        <v>https://www.diodes.com/datasheet/download/DMP32D4S.pdf</v>
      </c>
      <c r="C1163" t="str">
        <f>Hyperlink("https://www.diodes.com/part/view/DMP32D4S","DMP32D4S")</f>
        <v>DMP32D4S</v>
      </c>
      <c r="D1163" t="s">
        <v>74</v>
      </c>
      <c r="E1163" t="s">
        <v>27</v>
      </c>
      <c r="F1163" t="s">
        <v>28</v>
      </c>
      <c r="G1163" t="s">
        <v>75</v>
      </c>
      <c r="H1163" t="s">
        <v>27</v>
      </c>
      <c r="I1163">
        <v>30</v>
      </c>
      <c r="J1163">
        <v>20</v>
      </c>
      <c r="K1163">
        <v>0.3</v>
      </c>
      <c r="M1163">
        <v>0.54</v>
      </c>
      <c r="O1163">
        <v>2400</v>
      </c>
      <c r="P1163">
        <v>4000</v>
      </c>
      <c r="T1163">
        <v>2.4</v>
      </c>
      <c r="U1163">
        <v>0.6</v>
      </c>
      <c r="V1163">
        <v>1.2</v>
      </c>
      <c r="W1163">
        <v>51.2</v>
      </c>
      <c r="Y1163" t="s">
        <v>35</v>
      </c>
    </row>
    <row r="1164" spans="1:25">
      <c r="A1164" t="s">
        <v>2014</v>
      </c>
      <c r="B1164" s="2" t="str">
        <f>Hyperlink("https://www.diodes.com/datasheet/download/DMP32D4SFB.pdf")</f>
        <v>https://www.diodes.com/datasheet/download/DMP32D4SFB.pdf</v>
      </c>
      <c r="C1164" t="str">
        <f>Hyperlink("https://www.diodes.com/part/view/DMP32D4SFB","DMP32D4SFB")</f>
        <v>DMP32D4SFB</v>
      </c>
      <c r="D1164" t="s">
        <v>74</v>
      </c>
      <c r="E1164" t="s">
        <v>27</v>
      </c>
      <c r="F1164" t="s">
        <v>28</v>
      </c>
      <c r="G1164" t="s">
        <v>75</v>
      </c>
      <c r="H1164" t="s">
        <v>27</v>
      </c>
      <c r="I1164">
        <v>30</v>
      </c>
      <c r="J1164">
        <v>20</v>
      </c>
      <c r="K1164">
        <v>0.5</v>
      </c>
      <c r="M1164">
        <v>1.2</v>
      </c>
      <c r="O1164">
        <v>2400</v>
      </c>
      <c r="P1164">
        <v>4000</v>
      </c>
      <c r="Q1164">
        <v>16000</v>
      </c>
      <c r="T1164">
        <v>2.3</v>
      </c>
      <c r="U1164">
        <v>0.6</v>
      </c>
      <c r="V1164">
        <v>1.3</v>
      </c>
      <c r="W1164">
        <v>51</v>
      </c>
      <c r="Y1164" t="s">
        <v>846</v>
      </c>
    </row>
    <row r="1165" spans="1:25">
      <c r="A1165" t="s">
        <v>2015</v>
      </c>
      <c r="B1165" s="2" t="str">
        <f>Hyperlink("https://www.diodes.com/datasheet/download/DMP32D4SW.pdf")</f>
        <v>https://www.diodes.com/datasheet/download/DMP32D4SW.pdf</v>
      </c>
      <c r="C1165" t="str">
        <f>Hyperlink("https://www.diodes.com/part/view/DMP32D4SW","DMP32D4SW")</f>
        <v>DMP32D4SW</v>
      </c>
      <c r="D1165" t="s">
        <v>661</v>
      </c>
      <c r="E1165" t="s">
        <v>27</v>
      </c>
      <c r="F1165" t="s">
        <v>28</v>
      </c>
      <c r="G1165" t="s">
        <v>75</v>
      </c>
      <c r="H1165" t="s">
        <v>27</v>
      </c>
      <c r="I1165">
        <v>30</v>
      </c>
      <c r="J1165">
        <v>20</v>
      </c>
      <c r="K1165">
        <v>0.25</v>
      </c>
      <c r="M1165">
        <v>0.432</v>
      </c>
      <c r="O1165">
        <v>2400</v>
      </c>
      <c r="P1165">
        <v>4000</v>
      </c>
      <c r="T1165">
        <v>2.4</v>
      </c>
      <c r="U1165">
        <v>0.6</v>
      </c>
      <c r="V1165">
        <v>1.2</v>
      </c>
      <c r="W1165">
        <v>51.2</v>
      </c>
      <c r="Y1165" t="s">
        <v>92</v>
      </c>
    </row>
    <row r="1166" spans="1:25">
      <c r="A1166" t="s">
        <v>2016</v>
      </c>
      <c r="B1166" s="2" t="str">
        <f>Hyperlink("https://www.diodes.com/datasheet/download/DMP32D5LFA.pdf")</f>
        <v>https://www.diodes.com/datasheet/download/DMP32D5LFA.pdf</v>
      </c>
      <c r="C1166" t="str">
        <f>Hyperlink("https://www.diodes.com/part/view/DMP32D5LFA","DMP32D5LFA")</f>
        <v>DMP32D5LFA</v>
      </c>
      <c r="D1166" t="s">
        <v>74</v>
      </c>
      <c r="E1166" t="s">
        <v>27</v>
      </c>
      <c r="F1166" t="s">
        <v>28</v>
      </c>
      <c r="G1166" t="s">
        <v>75</v>
      </c>
      <c r="H1166" t="s">
        <v>27</v>
      </c>
      <c r="I1166">
        <v>30</v>
      </c>
      <c r="J1166">
        <v>8</v>
      </c>
      <c r="K1166">
        <v>0.3</v>
      </c>
      <c r="M1166">
        <v>0.36</v>
      </c>
      <c r="P1166">
        <v>1500</v>
      </c>
      <c r="Q1166">
        <v>2500</v>
      </c>
      <c r="R1166">
        <v>7500</v>
      </c>
      <c r="T1166">
        <v>1.2</v>
      </c>
      <c r="U1166">
        <v>0.7</v>
      </c>
      <c r="W1166">
        <v>40.9</v>
      </c>
      <c r="X1166">
        <v>15</v>
      </c>
      <c r="Y1166" t="s">
        <v>855</v>
      </c>
    </row>
    <row r="1167" spans="1:25">
      <c r="A1167" t="s">
        <v>2017</v>
      </c>
      <c r="B1167" s="2" t="str">
        <f>Hyperlink("https://www.diodes.com/datasheet/download/DMP32D5SFB.pdf")</f>
        <v>https://www.diodes.com/datasheet/download/DMP32D5SFB.pdf</v>
      </c>
      <c r="C1167" t="str">
        <f>Hyperlink("https://www.diodes.com/part/view/DMP32D5SFB","DMP32D5SFB")</f>
        <v>DMP32D5SFB</v>
      </c>
      <c r="D1167" t="s">
        <v>74</v>
      </c>
      <c r="E1167" t="s">
        <v>27</v>
      </c>
      <c r="F1167" t="s">
        <v>28</v>
      </c>
      <c r="G1167" t="s">
        <v>75</v>
      </c>
      <c r="H1167" t="s">
        <v>27</v>
      </c>
      <c r="I1167">
        <v>30</v>
      </c>
      <c r="J1167">
        <v>25</v>
      </c>
      <c r="K1167">
        <v>0.5</v>
      </c>
      <c r="M1167">
        <v>1.2</v>
      </c>
      <c r="O1167">
        <v>2400</v>
      </c>
      <c r="P1167">
        <v>4000</v>
      </c>
      <c r="T1167">
        <v>2.3</v>
      </c>
      <c r="U1167">
        <v>0.62</v>
      </c>
      <c r="V1167">
        <v>1.25</v>
      </c>
      <c r="W1167">
        <v>51</v>
      </c>
      <c r="X1167">
        <v>15</v>
      </c>
      <c r="Y1167" t="s">
        <v>846</v>
      </c>
    </row>
    <row r="1168" spans="1:25">
      <c r="A1168" t="s">
        <v>2018</v>
      </c>
      <c r="B1168" s="2" t="str">
        <f>Hyperlink("https://www.diodes.com/datasheet/download/DMP32D8UFZ.pdf")</f>
        <v>https://www.diodes.com/datasheet/download/DMP32D8UFZ.pdf</v>
      </c>
      <c r="C1168" t="str">
        <f>Hyperlink("https://www.diodes.com/part/view/DMP32D8UFZ","DMP32D8UFZ")</f>
        <v>DMP32D8UFZ</v>
      </c>
      <c r="D1168" t="s">
        <v>1645</v>
      </c>
      <c r="E1168" t="s">
        <v>30</v>
      </c>
      <c r="F1168" t="s">
        <v>28</v>
      </c>
      <c r="G1168" t="s">
        <v>75</v>
      </c>
      <c r="H1168" t="s">
        <v>27</v>
      </c>
      <c r="I1168">
        <v>30</v>
      </c>
      <c r="J1168">
        <v>10</v>
      </c>
      <c r="K1168">
        <v>0.2</v>
      </c>
      <c r="M1168">
        <v>0.29</v>
      </c>
      <c r="P1168">
        <v>5000</v>
      </c>
      <c r="Q1168">
        <v>6000</v>
      </c>
      <c r="R1168">
        <v>7000</v>
      </c>
      <c r="S1168">
        <v>0.4</v>
      </c>
      <c r="T1168">
        <v>1</v>
      </c>
      <c r="U1168">
        <v>0.35</v>
      </c>
      <c r="W1168">
        <v>17</v>
      </c>
      <c r="X1168">
        <v>15</v>
      </c>
      <c r="Y1168" t="s">
        <v>1078</v>
      </c>
    </row>
    <row r="1169" spans="1:25">
      <c r="A1169" t="s">
        <v>2019</v>
      </c>
      <c r="B1169" s="2" t="str">
        <f>Hyperlink("https://www.diodes.com/datasheet/download/DMP32D9UDA.pdf")</f>
        <v>https://www.diodes.com/datasheet/download/DMP32D9UDA.pdf</v>
      </c>
      <c r="C1169" t="str">
        <f>Hyperlink("https://www.diodes.com/part/view/DMP32D9UDA","DMP32D9UDA")</f>
        <v>DMP32D9UDA</v>
      </c>
      <c r="D1169" t="s">
        <v>2020</v>
      </c>
      <c r="E1169" t="s">
        <v>30</v>
      </c>
      <c r="F1169" t="s">
        <v>28</v>
      </c>
      <c r="G1169" t="s">
        <v>124</v>
      </c>
      <c r="H1169" t="s">
        <v>27</v>
      </c>
      <c r="I1169">
        <v>30</v>
      </c>
      <c r="J1169">
        <v>12</v>
      </c>
      <c r="K1169">
        <v>0.22</v>
      </c>
      <c r="M1169">
        <v>0.36</v>
      </c>
      <c r="P1169">
        <v>5000</v>
      </c>
      <c r="Q1169">
        <v>6000</v>
      </c>
      <c r="R1169">
        <v>7000</v>
      </c>
      <c r="T1169">
        <v>1</v>
      </c>
      <c r="U1169">
        <v>0.35</v>
      </c>
      <c r="W1169">
        <v>22</v>
      </c>
      <c r="X1169">
        <v>5</v>
      </c>
      <c r="Y1169" t="s">
        <v>298</v>
      </c>
    </row>
    <row r="1170" spans="1:25">
      <c r="A1170" t="s">
        <v>2021</v>
      </c>
      <c r="B1170" s="2" t="str">
        <f>Hyperlink("https://www.diodes.com/datasheet/download/DMP32D9UDAQ.pdf")</f>
        <v>https://www.diodes.com/datasheet/download/DMP32D9UDAQ.pdf</v>
      </c>
      <c r="C1170" t="str">
        <f>Hyperlink("https://www.diodes.com/part/view/DMP32D9UDAQ","DMP32D9UDAQ")</f>
        <v>DMP32D9UDAQ</v>
      </c>
      <c r="D1170" t="s">
        <v>2022</v>
      </c>
      <c r="E1170" t="s">
        <v>27</v>
      </c>
      <c r="F1170" t="s">
        <v>37</v>
      </c>
      <c r="G1170" t="s">
        <v>124</v>
      </c>
      <c r="H1170" t="s">
        <v>27</v>
      </c>
      <c r="I1170">
        <v>30</v>
      </c>
      <c r="J1170">
        <v>12</v>
      </c>
      <c r="K1170">
        <v>0.22</v>
      </c>
      <c r="M1170">
        <v>0.37</v>
      </c>
      <c r="P1170">
        <v>5000</v>
      </c>
      <c r="Q1170">
        <v>6000</v>
      </c>
      <c r="R1170">
        <v>7000</v>
      </c>
      <c r="S1170">
        <v>0.4</v>
      </c>
      <c r="T1170">
        <v>1</v>
      </c>
      <c r="U1170">
        <v>0.35</v>
      </c>
      <c r="W1170">
        <v>21.8</v>
      </c>
      <c r="X1170">
        <v>15</v>
      </c>
      <c r="Y1170" t="s">
        <v>298</v>
      </c>
    </row>
    <row r="1171" spans="1:25">
      <c r="A1171" t="s">
        <v>2023</v>
      </c>
      <c r="B1171" s="2" t="str">
        <f>Hyperlink("https://www.diodes.com/datasheet/download/DMP32D9UFA.pdf")</f>
        <v>https://www.diodes.com/datasheet/download/DMP32D9UFA.pdf</v>
      </c>
      <c r="C1171" t="str">
        <f>Hyperlink("https://www.diodes.com/part/view/DMP32D9UFA","DMP32D9UFA")</f>
        <v>DMP32D9UFA</v>
      </c>
      <c r="D1171" t="s">
        <v>1900</v>
      </c>
      <c r="E1171" t="s">
        <v>30</v>
      </c>
      <c r="F1171" t="s">
        <v>28</v>
      </c>
      <c r="G1171" t="s">
        <v>75</v>
      </c>
      <c r="H1171" t="s">
        <v>27</v>
      </c>
      <c r="I1171">
        <v>30</v>
      </c>
      <c r="J1171">
        <v>12</v>
      </c>
      <c r="K1171">
        <v>0.21</v>
      </c>
      <c r="M1171">
        <v>0.36</v>
      </c>
      <c r="P1171">
        <v>5000</v>
      </c>
      <c r="Q1171">
        <v>6000</v>
      </c>
      <c r="R1171">
        <v>7000</v>
      </c>
      <c r="S1171">
        <v>0.4</v>
      </c>
      <c r="T1171">
        <v>1</v>
      </c>
      <c r="U1171">
        <v>0.36</v>
      </c>
      <c r="W1171">
        <v>17</v>
      </c>
      <c r="X1171">
        <v>15</v>
      </c>
      <c r="Y1171" t="s">
        <v>855</v>
      </c>
    </row>
    <row r="1172" spans="1:25">
      <c r="A1172" t="s">
        <v>2024</v>
      </c>
      <c r="B1172" s="2" t="str">
        <f>Hyperlink("https://www.diodes.com/datasheet/download/DMP32D9UFO.pdf")</f>
        <v>https://www.diodes.com/datasheet/download/DMP32D9UFO.pdf</v>
      </c>
      <c r="C1172" t="str">
        <f>Hyperlink("https://www.diodes.com/part/view/DMP32D9UFO","DMP32D9UFO")</f>
        <v>DMP32D9UFO</v>
      </c>
      <c r="D1172" t="s">
        <v>74</v>
      </c>
      <c r="E1172" t="s">
        <v>30</v>
      </c>
      <c r="F1172" t="s">
        <v>28</v>
      </c>
      <c r="G1172" t="s">
        <v>75</v>
      </c>
      <c r="H1172" t="s">
        <v>27</v>
      </c>
      <c r="I1172">
        <v>30</v>
      </c>
      <c r="J1172">
        <v>12</v>
      </c>
      <c r="K1172">
        <v>0.2</v>
      </c>
      <c r="M1172">
        <v>0.32</v>
      </c>
      <c r="P1172">
        <v>5000</v>
      </c>
      <c r="Q1172">
        <v>6000</v>
      </c>
      <c r="T1172">
        <v>1</v>
      </c>
      <c r="U1172">
        <v>0.35</v>
      </c>
      <c r="W1172">
        <v>22</v>
      </c>
      <c r="X1172">
        <v>15</v>
      </c>
      <c r="Y1172" t="s">
        <v>1076</v>
      </c>
    </row>
    <row r="1173" spans="1:25">
      <c r="A1173" t="s">
        <v>2025</v>
      </c>
      <c r="B1173" s="2" t="str">
        <f>Hyperlink("https://www.diodes.com/datasheet/download/DMP32D9UFZ.pdf")</f>
        <v>https://www.diodes.com/datasheet/download/DMP32D9UFZ.pdf</v>
      </c>
      <c r="C1173" t="str">
        <f>Hyperlink("https://www.diodes.com/part/view/DMP32D9UFZ","DMP32D9UFZ")</f>
        <v>DMP32D9UFZ</v>
      </c>
      <c r="D1173" t="s">
        <v>74</v>
      </c>
      <c r="E1173" t="s">
        <v>27</v>
      </c>
      <c r="F1173" t="s">
        <v>28</v>
      </c>
      <c r="G1173" t="s">
        <v>75</v>
      </c>
      <c r="H1173" t="s">
        <v>27</v>
      </c>
      <c r="I1173">
        <v>30</v>
      </c>
      <c r="J1173">
        <v>10</v>
      </c>
      <c r="K1173">
        <v>0.2</v>
      </c>
      <c r="M1173">
        <v>0.39</v>
      </c>
      <c r="P1173">
        <v>5000</v>
      </c>
      <c r="Q1173">
        <v>6000</v>
      </c>
      <c r="R1173">
        <v>7000</v>
      </c>
      <c r="T1173">
        <v>1</v>
      </c>
      <c r="U1173">
        <v>0.35</v>
      </c>
      <c r="W1173">
        <v>22.5</v>
      </c>
      <c r="Y1173" t="s">
        <v>1078</v>
      </c>
    </row>
    <row r="1174" spans="1:25">
      <c r="A1174" t="s">
        <v>2026</v>
      </c>
      <c r="B1174" s="2" t="str">
        <f>Hyperlink("https://www.diodes.com/datasheet/download/DMP32M6SPS.pdf")</f>
        <v>https://www.diodes.com/datasheet/download/DMP32M6SPS.pdf</v>
      </c>
      <c r="C1174" t="str">
        <f>Hyperlink("https://www.diodes.com/part/view/DMP32M6SPS","DMP32M6SPS")</f>
        <v>DMP32M6SPS</v>
      </c>
      <c r="D1174" t="s">
        <v>661</v>
      </c>
      <c r="E1174" t="s">
        <v>30</v>
      </c>
      <c r="F1174" t="s">
        <v>28</v>
      </c>
      <c r="G1174" t="s">
        <v>75</v>
      </c>
      <c r="H1174" t="s">
        <v>30</v>
      </c>
      <c r="I1174">
        <v>30</v>
      </c>
      <c r="J1174">
        <v>20</v>
      </c>
      <c r="L1174">
        <v>100</v>
      </c>
      <c r="M1174">
        <v>2.3</v>
      </c>
      <c r="O1174">
        <v>2.6</v>
      </c>
      <c r="P1174">
        <v>3.75</v>
      </c>
      <c r="T1174">
        <v>2.5</v>
      </c>
      <c r="U1174">
        <v>75</v>
      </c>
      <c r="V1174">
        <v>158</v>
      </c>
      <c r="W1174">
        <v>8594</v>
      </c>
      <c r="X1174">
        <v>15</v>
      </c>
      <c r="Y1174" t="s">
        <v>907</v>
      </c>
    </row>
    <row r="1175" spans="1:25">
      <c r="A1175" t="s">
        <v>2027</v>
      </c>
      <c r="B1175" s="2" t="str">
        <f>Hyperlink("https://www.diodes.com/datasheet/download/DMP34M4SPS.pdf")</f>
        <v>https://www.diodes.com/datasheet/download/DMP34M4SPS.pdf</v>
      </c>
      <c r="C1175" t="str">
        <f>Hyperlink("https://www.diodes.com/part/view/DMP34M4SPS","DMP34M4SPS")</f>
        <v>DMP34M4SPS</v>
      </c>
      <c r="D1175" t="s">
        <v>661</v>
      </c>
      <c r="E1175" t="s">
        <v>30</v>
      </c>
      <c r="F1175" t="s">
        <v>28</v>
      </c>
      <c r="G1175" t="s">
        <v>75</v>
      </c>
      <c r="H1175" t="s">
        <v>30</v>
      </c>
      <c r="I1175">
        <v>30</v>
      </c>
      <c r="J1175">
        <v>25</v>
      </c>
      <c r="K1175">
        <v>21</v>
      </c>
      <c r="L1175">
        <v>87</v>
      </c>
      <c r="M1175">
        <v>3</v>
      </c>
      <c r="O1175">
        <v>3.8</v>
      </c>
      <c r="P1175" t="s">
        <v>2028</v>
      </c>
      <c r="T1175">
        <v>2.6</v>
      </c>
      <c r="V1175">
        <v>127</v>
      </c>
      <c r="W1175">
        <v>3775</v>
      </c>
      <c r="X1175">
        <v>15</v>
      </c>
      <c r="Y1175" t="s">
        <v>2029</v>
      </c>
    </row>
    <row r="1176" spans="1:25">
      <c r="A1176" t="s">
        <v>2030</v>
      </c>
      <c r="B1176" s="2" t="str">
        <f>Hyperlink("https://www.diodes.com/datasheet/download/DMP4006SPSW.pdf")</f>
        <v>https://www.diodes.com/datasheet/download/DMP4006SPSW.pdf</v>
      </c>
      <c r="C1176" t="str">
        <f>Hyperlink("https://www.diodes.com/part/view/DMP4006SPSW","DMP4006SPSW")</f>
        <v>DMP4006SPSW</v>
      </c>
      <c r="D1176" t="s">
        <v>2031</v>
      </c>
      <c r="E1176" t="s">
        <v>30</v>
      </c>
      <c r="F1176" t="s">
        <v>28</v>
      </c>
      <c r="G1176" t="s">
        <v>75</v>
      </c>
      <c r="H1176" t="s">
        <v>30</v>
      </c>
      <c r="I1176">
        <v>40</v>
      </c>
      <c r="J1176">
        <v>20</v>
      </c>
      <c r="L1176">
        <v>115</v>
      </c>
      <c r="M1176">
        <v>3.4</v>
      </c>
      <c r="N1176">
        <v>104</v>
      </c>
      <c r="O1176">
        <v>5.2</v>
      </c>
      <c r="P1176" t="s">
        <v>2032</v>
      </c>
      <c r="T1176">
        <v>3</v>
      </c>
      <c r="W1176">
        <v>6855</v>
      </c>
      <c r="X1176">
        <v>20</v>
      </c>
      <c r="Y1176" t="s">
        <v>1546</v>
      </c>
    </row>
    <row r="1177" spans="1:25">
      <c r="A1177" t="s">
        <v>2033</v>
      </c>
      <c r="B1177" s="2" t="str">
        <f>Hyperlink("https://www.diodes.com/datasheet/download/DMP4006SPSWQ.pdf")</f>
        <v>https://www.diodes.com/datasheet/download/DMP4006SPSWQ.pdf</v>
      </c>
      <c r="C1177" t="str">
        <f>Hyperlink("https://www.diodes.com/part/view/DMP4006SPSWQ","DMP4006SPSWQ")</f>
        <v>DMP4006SPSWQ</v>
      </c>
      <c r="D1177" t="s">
        <v>2031</v>
      </c>
      <c r="E1177" t="s">
        <v>27</v>
      </c>
      <c r="F1177" t="s">
        <v>37</v>
      </c>
      <c r="G1177" t="s">
        <v>75</v>
      </c>
      <c r="H1177" t="s">
        <v>30</v>
      </c>
      <c r="I1177">
        <v>40</v>
      </c>
      <c r="J1177">
        <v>20</v>
      </c>
      <c r="L1177">
        <v>115</v>
      </c>
      <c r="M1177">
        <v>3.4</v>
      </c>
      <c r="N1177">
        <v>104</v>
      </c>
      <c r="O1177">
        <v>5.2</v>
      </c>
      <c r="P1177" t="s">
        <v>2032</v>
      </c>
      <c r="T1177">
        <v>3</v>
      </c>
      <c r="W1177">
        <v>6855</v>
      </c>
      <c r="X1177">
        <v>20</v>
      </c>
      <c r="Y1177" t="s">
        <v>1546</v>
      </c>
    </row>
    <row r="1178" spans="1:25">
      <c r="A1178" t="s">
        <v>2034</v>
      </c>
      <c r="B1178" s="2" t="str">
        <f>Hyperlink("https://www.diodes.com/datasheet/download/DMP4009SPSW.pdf")</f>
        <v>https://www.diodes.com/datasheet/download/DMP4009SPSW.pdf</v>
      </c>
      <c r="C1178" t="str">
        <f>Hyperlink("https://www.diodes.com/part/view/DMP4009SPSW","DMP4009SPSW")</f>
        <v>DMP4009SPSW</v>
      </c>
      <c r="D1178" t="s">
        <v>2035</v>
      </c>
      <c r="E1178" t="s">
        <v>30</v>
      </c>
      <c r="F1178" t="s">
        <v>28</v>
      </c>
      <c r="G1178" t="s">
        <v>75</v>
      </c>
      <c r="H1178" t="s">
        <v>30</v>
      </c>
      <c r="I1178">
        <v>40</v>
      </c>
      <c r="J1178">
        <v>20</v>
      </c>
      <c r="L1178">
        <v>79</v>
      </c>
      <c r="M1178">
        <v>3.9</v>
      </c>
      <c r="N1178">
        <v>119</v>
      </c>
      <c r="O1178">
        <v>11</v>
      </c>
      <c r="P1178">
        <v>19</v>
      </c>
      <c r="S1178">
        <v>1</v>
      </c>
      <c r="T1178">
        <v>2.5</v>
      </c>
      <c r="U1178">
        <v>53</v>
      </c>
      <c r="V1178">
        <v>112</v>
      </c>
      <c r="W1178">
        <v>5697</v>
      </c>
      <c r="X1178">
        <v>20</v>
      </c>
      <c r="Y1178" t="s">
        <v>1546</v>
      </c>
    </row>
    <row r="1179" spans="1:25">
      <c r="A1179" t="s">
        <v>2036</v>
      </c>
      <c r="B1179" s="2" t="str">
        <f>Hyperlink("https://www.diodes.com/datasheet/download/DMP4009SPSWQ.pdf")</f>
        <v>https://www.diodes.com/datasheet/download/DMP4009SPSWQ.pdf</v>
      </c>
      <c r="C1179" t="str">
        <f>Hyperlink("https://www.diodes.com/part/view/DMP4009SPSWQ","DMP4009SPSWQ")</f>
        <v>DMP4009SPSWQ</v>
      </c>
      <c r="D1179" t="s">
        <v>2035</v>
      </c>
      <c r="E1179" t="s">
        <v>27</v>
      </c>
      <c r="F1179" t="s">
        <v>37</v>
      </c>
      <c r="G1179" t="s">
        <v>75</v>
      </c>
      <c r="H1179" t="s">
        <v>30</v>
      </c>
      <c r="I1179">
        <v>40</v>
      </c>
      <c r="J1179">
        <v>20</v>
      </c>
      <c r="L1179">
        <v>79</v>
      </c>
      <c r="M1179">
        <v>3.9</v>
      </c>
      <c r="N1179">
        <v>119</v>
      </c>
      <c r="O1179">
        <v>11</v>
      </c>
      <c r="P1179">
        <v>19</v>
      </c>
      <c r="S1179" t="s">
        <v>2037</v>
      </c>
      <c r="T1179">
        <v>2.5</v>
      </c>
      <c r="U1179">
        <v>53</v>
      </c>
      <c r="V1179">
        <v>112</v>
      </c>
      <c r="W1179">
        <v>5697</v>
      </c>
      <c r="X1179">
        <v>20</v>
      </c>
      <c r="Y1179" t="s">
        <v>1546</v>
      </c>
    </row>
    <row r="1180" spans="1:25">
      <c r="A1180" t="s">
        <v>2038</v>
      </c>
      <c r="B1180" s="2" t="str">
        <f>Hyperlink("https://www.diodes.com/datasheet/download/DMP4009SSS.pdf")</f>
        <v>https://www.diodes.com/datasheet/download/DMP4009SSS.pdf</v>
      </c>
      <c r="C1180" t="str">
        <f>Hyperlink("https://www.diodes.com/part/view/DMP4009SSS","DMP4009SSS")</f>
        <v>DMP4009SSS</v>
      </c>
      <c r="D1180" t="s">
        <v>2035</v>
      </c>
      <c r="E1180" t="s">
        <v>30</v>
      </c>
      <c r="F1180" t="s">
        <v>28</v>
      </c>
      <c r="G1180" t="s">
        <v>75</v>
      </c>
      <c r="H1180" t="s">
        <v>30</v>
      </c>
      <c r="I1180">
        <v>40</v>
      </c>
      <c r="J1180">
        <v>20</v>
      </c>
      <c r="K1180">
        <v>10</v>
      </c>
      <c r="M1180">
        <v>2.1</v>
      </c>
      <c r="O1180">
        <v>11</v>
      </c>
      <c r="P1180">
        <v>19</v>
      </c>
      <c r="S1180">
        <v>1</v>
      </c>
      <c r="T1180">
        <v>2.5</v>
      </c>
      <c r="U1180">
        <v>53</v>
      </c>
      <c r="V1180">
        <v>112</v>
      </c>
      <c r="W1180">
        <v>5697</v>
      </c>
      <c r="X1180">
        <v>20</v>
      </c>
      <c r="Y1180" t="s">
        <v>213</v>
      </c>
    </row>
    <row r="1181" spans="1:25">
      <c r="A1181" t="s">
        <v>2039</v>
      </c>
      <c r="B1181" s="2" t="str">
        <f>Hyperlink("https://www.diodes.com/datasheet/download/DMP4009SSSQ.pdf")</f>
        <v>https://www.diodes.com/datasheet/download/DMP4009SSSQ.pdf</v>
      </c>
      <c r="C1181" t="str">
        <f>Hyperlink("https://www.diodes.com/part/view/DMP4009SSSQ","DMP4009SSSQ")</f>
        <v>DMP4009SSSQ</v>
      </c>
      <c r="D1181" t="s">
        <v>2035</v>
      </c>
      <c r="E1181" t="s">
        <v>27</v>
      </c>
      <c r="F1181" t="s">
        <v>37</v>
      </c>
      <c r="G1181" t="s">
        <v>75</v>
      </c>
      <c r="H1181" t="s">
        <v>30</v>
      </c>
      <c r="I1181">
        <v>40</v>
      </c>
      <c r="J1181">
        <v>20</v>
      </c>
      <c r="K1181">
        <v>10</v>
      </c>
      <c r="M1181">
        <v>2.1</v>
      </c>
      <c r="O1181">
        <v>11</v>
      </c>
      <c r="P1181">
        <v>19</v>
      </c>
      <c r="S1181">
        <v>1</v>
      </c>
      <c r="T1181">
        <v>2.5</v>
      </c>
      <c r="U1181">
        <v>53</v>
      </c>
      <c r="V1181">
        <v>112</v>
      </c>
      <c r="W1181">
        <v>5697</v>
      </c>
      <c r="X1181">
        <v>20</v>
      </c>
      <c r="Y1181" t="s">
        <v>213</v>
      </c>
    </row>
    <row r="1182" spans="1:25">
      <c r="A1182" t="s">
        <v>2040</v>
      </c>
      <c r="B1182" s="2" t="str">
        <f>Hyperlink("https://www.diodes.com/datasheet/download/DMP4010SK3.pdf")</f>
        <v>https://www.diodes.com/datasheet/download/DMP4010SK3.pdf</v>
      </c>
      <c r="C1182" t="str">
        <f>Hyperlink("https://www.diodes.com/part/view/DMP4010SK3","DMP4010SK3")</f>
        <v>DMP4010SK3</v>
      </c>
      <c r="D1182" t="s">
        <v>74</v>
      </c>
      <c r="E1182" t="s">
        <v>27</v>
      </c>
      <c r="F1182" t="s">
        <v>28</v>
      </c>
      <c r="G1182" t="s">
        <v>75</v>
      </c>
      <c r="H1182" t="s">
        <v>30</v>
      </c>
      <c r="I1182">
        <v>40</v>
      </c>
      <c r="J1182">
        <v>25</v>
      </c>
      <c r="K1182">
        <v>15</v>
      </c>
      <c r="M1182">
        <v>3.3</v>
      </c>
      <c r="O1182">
        <v>9.9</v>
      </c>
      <c r="P1182">
        <v>14</v>
      </c>
      <c r="T1182">
        <v>2.5</v>
      </c>
      <c r="U1182">
        <v>42.7</v>
      </c>
      <c r="V1182">
        <v>91</v>
      </c>
      <c r="W1182">
        <v>4234</v>
      </c>
      <c r="X1182">
        <v>20</v>
      </c>
      <c r="Y1182" t="s">
        <v>681</v>
      </c>
    </row>
    <row r="1183" spans="1:25">
      <c r="A1183" t="s">
        <v>2041</v>
      </c>
      <c r="B1183" s="2" t="str">
        <f>Hyperlink("https://www.diodes.com/datasheet/download/DMP4010SK3Q.pdf")</f>
        <v>https://www.diodes.com/datasheet/download/DMP4010SK3Q.pdf</v>
      </c>
      <c r="C1183" t="str">
        <f>Hyperlink("https://www.diodes.com/part/view/DMP4010SK3Q","DMP4010SK3Q")</f>
        <v>DMP4010SK3Q</v>
      </c>
      <c r="D1183" t="s">
        <v>74</v>
      </c>
      <c r="E1183" t="s">
        <v>27</v>
      </c>
      <c r="F1183" t="s">
        <v>37</v>
      </c>
      <c r="G1183" t="s">
        <v>75</v>
      </c>
      <c r="H1183" t="s">
        <v>30</v>
      </c>
      <c r="I1183">
        <v>40</v>
      </c>
      <c r="J1183">
        <v>25</v>
      </c>
      <c r="K1183">
        <v>15</v>
      </c>
      <c r="M1183">
        <v>3.3</v>
      </c>
      <c r="O1183">
        <v>9.9</v>
      </c>
      <c r="P1183">
        <v>14</v>
      </c>
      <c r="T1183">
        <v>2.5</v>
      </c>
      <c r="U1183">
        <v>42.7</v>
      </c>
      <c r="V1183">
        <v>91</v>
      </c>
      <c r="X1183">
        <v>20</v>
      </c>
      <c r="Y1183" t="s">
        <v>681</v>
      </c>
    </row>
    <row r="1184" spans="1:25">
      <c r="A1184" t="s">
        <v>2042</v>
      </c>
      <c r="B1184" s="2" t="str">
        <f>Hyperlink("https://www.diodes.com/datasheet/download/DMP4011SK3.pdf")</f>
        <v>https://www.diodes.com/datasheet/download/DMP4011SK3.pdf</v>
      </c>
      <c r="C1184" t="str">
        <f>Hyperlink("https://www.diodes.com/part/view/DMP4011SK3","DMP4011SK3")</f>
        <v>DMP4011SK3</v>
      </c>
      <c r="D1184" t="s">
        <v>74</v>
      </c>
      <c r="E1184" t="s">
        <v>30</v>
      </c>
      <c r="F1184" t="s">
        <v>28</v>
      </c>
      <c r="G1184" t="s">
        <v>75</v>
      </c>
      <c r="H1184" t="s">
        <v>30</v>
      </c>
      <c r="I1184">
        <v>40</v>
      </c>
      <c r="J1184">
        <v>20</v>
      </c>
      <c r="K1184">
        <v>14</v>
      </c>
      <c r="M1184">
        <v>3.1</v>
      </c>
      <c r="O1184">
        <v>11</v>
      </c>
      <c r="P1184">
        <v>19</v>
      </c>
      <c r="T1184">
        <v>2.5</v>
      </c>
      <c r="U1184">
        <v>25</v>
      </c>
      <c r="V1184">
        <v>52</v>
      </c>
      <c r="W1184">
        <v>2747</v>
      </c>
      <c r="X1184">
        <v>20</v>
      </c>
      <c r="Y1184" t="s">
        <v>681</v>
      </c>
    </row>
    <row r="1185" spans="1:25">
      <c r="A1185" t="s">
        <v>2043</v>
      </c>
      <c r="B1185" s="2" t="str">
        <f>Hyperlink("https://www.diodes.com/datasheet/download/DMP4011SK3Q.pdf")</f>
        <v>https://www.diodes.com/datasheet/download/DMP4011SK3Q.pdf</v>
      </c>
      <c r="C1185" t="str">
        <f>Hyperlink("https://www.diodes.com/part/view/DMP4011SK3Q","DMP4011SK3Q")</f>
        <v>DMP4011SK3Q</v>
      </c>
      <c r="D1185" t="s">
        <v>74</v>
      </c>
      <c r="E1185" t="s">
        <v>27</v>
      </c>
      <c r="F1185" t="s">
        <v>37</v>
      </c>
      <c r="G1185" t="s">
        <v>75</v>
      </c>
      <c r="H1185" t="s">
        <v>30</v>
      </c>
      <c r="I1185">
        <v>40</v>
      </c>
      <c r="J1185">
        <v>20</v>
      </c>
      <c r="K1185">
        <v>14</v>
      </c>
      <c r="M1185">
        <v>3.1</v>
      </c>
      <c r="O1185">
        <v>11</v>
      </c>
      <c r="P1185">
        <v>19</v>
      </c>
      <c r="T1185">
        <v>2.5</v>
      </c>
      <c r="U1185">
        <v>25</v>
      </c>
      <c r="V1185">
        <v>52</v>
      </c>
      <c r="X1185">
        <v>20</v>
      </c>
      <c r="Y1185" t="s">
        <v>681</v>
      </c>
    </row>
    <row r="1186" spans="1:25">
      <c r="A1186" t="s">
        <v>2044</v>
      </c>
      <c r="B1186" s="2" t="str">
        <f>Hyperlink("https://www.diodes.com/datasheet/download/DMP4011SPS.pdf")</f>
        <v>https://www.diodes.com/datasheet/download/DMP4011SPS.pdf</v>
      </c>
      <c r="C1186" t="str">
        <f>Hyperlink("https://www.diodes.com/part/view/DMP4011SPS","DMP4011SPS")</f>
        <v>DMP4011SPS</v>
      </c>
      <c r="D1186" t="s">
        <v>2031</v>
      </c>
      <c r="E1186" t="s">
        <v>27</v>
      </c>
      <c r="F1186" t="s">
        <v>28</v>
      </c>
      <c r="G1186" t="s">
        <v>75</v>
      </c>
      <c r="H1186" t="s">
        <v>30</v>
      </c>
      <c r="I1186">
        <v>40</v>
      </c>
      <c r="J1186">
        <v>20</v>
      </c>
      <c r="K1186">
        <v>11.7</v>
      </c>
      <c r="L1186">
        <v>76</v>
      </c>
      <c r="M1186">
        <v>2.3</v>
      </c>
      <c r="O1186">
        <v>10</v>
      </c>
      <c r="P1186">
        <v>14</v>
      </c>
      <c r="T1186">
        <v>2.5</v>
      </c>
      <c r="U1186">
        <v>25</v>
      </c>
      <c r="V1186">
        <v>52</v>
      </c>
      <c r="W1186">
        <v>2747</v>
      </c>
      <c r="X1186">
        <v>20</v>
      </c>
      <c r="Y1186" t="s">
        <v>907</v>
      </c>
    </row>
    <row r="1187" spans="1:25">
      <c r="A1187" t="s">
        <v>2045</v>
      </c>
      <c r="B1187" s="2" t="str">
        <f>Hyperlink("https://www.diodes.com/datasheet/download/DMP4011SPSQ.pdf")</f>
        <v>https://www.diodes.com/datasheet/download/DMP4011SPSQ.pdf</v>
      </c>
      <c r="C1187" t="str">
        <f>Hyperlink("https://www.diodes.com/part/view/DMP4011SPSQ","DMP4011SPSQ")</f>
        <v>DMP4011SPSQ</v>
      </c>
      <c r="D1187" t="s">
        <v>2031</v>
      </c>
      <c r="E1187" t="s">
        <v>27</v>
      </c>
      <c r="F1187" t="s">
        <v>37</v>
      </c>
      <c r="G1187" t="s">
        <v>75</v>
      </c>
      <c r="H1187" t="s">
        <v>30</v>
      </c>
      <c r="I1187">
        <v>40</v>
      </c>
      <c r="J1187">
        <v>20</v>
      </c>
      <c r="K1187">
        <v>11.7</v>
      </c>
      <c r="L1187">
        <v>76</v>
      </c>
      <c r="M1187">
        <v>2.3</v>
      </c>
      <c r="O1187">
        <v>10</v>
      </c>
      <c r="P1187">
        <v>14</v>
      </c>
      <c r="T1187">
        <v>2.5</v>
      </c>
      <c r="U1187">
        <v>25</v>
      </c>
      <c r="V1187">
        <v>52</v>
      </c>
      <c r="W1187">
        <v>2747</v>
      </c>
      <c r="X1187">
        <v>20</v>
      </c>
      <c r="Y1187" t="s">
        <v>907</v>
      </c>
    </row>
    <row r="1188" spans="1:25">
      <c r="A1188" t="s">
        <v>2046</v>
      </c>
      <c r="B1188" s="2" t="str">
        <f>Hyperlink("https://www.diodes.com/datasheet/download/DMP4011SPSW.pdf")</f>
        <v>https://www.diodes.com/datasheet/download/DMP4011SPSW.pdf</v>
      </c>
      <c r="C1188" t="str">
        <f>Hyperlink("https://www.diodes.com/part/view/DMP4011SPSW","DMP4011SPSW")</f>
        <v>DMP4011SPSW</v>
      </c>
      <c r="D1188" t="s">
        <v>1645</v>
      </c>
      <c r="E1188" t="s">
        <v>27</v>
      </c>
      <c r="F1188" t="s">
        <v>28</v>
      </c>
      <c r="G1188" t="s">
        <v>75</v>
      </c>
      <c r="H1188" t="s">
        <v>30</v>
      </c>
      <c r="I1188">
        <v>40</v>
      </c>
      <c r="J1188">
        <v>20</v>
      </c>
      <c r="K1188">
        <v>11.7</v>
      </c>
      <c r="L1188">
        <v>76</v>
      </c>
      <c r="M1188">
        <v>2.3</v>
      </c>
      <c r="O1188">
        <v>10</v>
      </c>
      <c r="P1188">
        <v>14</v>
      </c>
      <c r="S1188">
        <v>1</v>
      </c>
      <c r="T1188">
        <v>2.5</v>
      </c>
      <c r="U1188">
        <v>25</v>
      </c>
      <c r="V1188">
        <v>52</v>
      </c>
      <c r="W1188">
        <v>2747</v>
      </c>
      <c r="X1188">
        <v>20</v>
      </c>
      <c r="Y1188" t="s">
        <v>1546</v>
      </c>
    </row>
    <row r="1189" spans="1:25">
      <c r="A1189" t="s">
        <v>2047</v>
      </c>
      <c r="B1189" s="2" t="str">
        <f>Hyperlink("https://www.diodes.com/datasheet/download/DMP4011SPSWQ.pdf")</f>
        <v>https://www.diodes.com/datasheet/download/DMP4011SPSWQ.pdf</v>
      </c>
      <c r="C1189" t="str">
        <f>Hyperlink("https://www.diodes.com/part/view/DMP4011SPSWQ","DMP4011SPSWQ")</f>
        <v>DMP4011SPSWQ</v>
      </c>
      <c r="D1189" t="s">
        <v>2035</v>
      </c>
      <c r="E1189" t="s">
        <v>27</v>
      </c>
      <c r="F1189" t="s">
        <v>37</v>
      </c>
      <c r="G1189" t="s">
        <v>75</v>
      </c>
      <c r="H1189" t="s">
        <v>30</v>
      </c>
      <c r="I1189">
        <v>40</v>
      </c>
      <c r="J1189">
        <v>20</v>
      </c>
      <c r="K1189">
        <v>11.7</v>
      </c>
      <c r="L1189">
        <v>76</v>
      </c>
      <c r="M1189">
        <v>2.3</v>
      </c>
      <c r="O1189">
        <v>10</v>
      </c>
      <c r="P1189">
        <v>14</v>
      </c>
      <c r="S1189">
        <v>1</v>
      </c>
      <c r="T1189">
        <v>2.5</v>
      </c>
      <c r="U1189">
        <v>25</v>
      </c>
      <c r="V1189">
        <v>52</v>
      </c>
      <c r="W1189">
        <v>2747</v>
      </c>
      <c r="X1189">
        <v>20</v>
      </c>
      <c r="Y1189" t="s">
        <v>1546</v>
      </c>
    </row>
    <row r="1190" spans="1:25">
      <c r="A1190" t="s">
        <v>2048</v>
      </c>
      <c r="B1190" s="2" t="str">
        <f>Hyperlink("https://www.diodes.com/datasheet/download/DMP4013LFG.pdf")</f>
        <v>https://www.diodes.com/datasheet/download/DMP4013LFG.pdf</v>
      </c>
      <c r="C1190" t="str">
        <f>Hyperlink("https://www.diodes.com/part/view/DMP4013LFG","DMP4013LFG")</f>
        <v>DMP4013LFG</v>
      </c>
      <c r="D1190" t="s">
        <v>2031</v>
      </c>
      <c r="E1190" t="s">
        <v>27</v>
      </c>
      <c r="F1190" t="s">
        <v>28</v>
      </c>
      <c r="G1190" t="s">
        <v>75</v>
      </c>
      <c r="H1190" t="s">
        <v>30</v>
      </c>
      <c r="I1190">
        <v>40</v>
      </c>
      <c r="J1190">
        <v>20</v>
      </c>
      <c r="K1190">
        <v>10.3</v>
      </c>
      <c r="M1190">
        <v>2.1</v>
      </c>
      <c r="O1190">
        <v>13</v>
      </c>
      <c r="P1190">
        <v>18</v>
      </c>
      <c r="T1190">
        <v>3</v>
      </c>
      <c r="U1190">
        <v>32.5</v>
      </c>
      <c r="V1190">
        <v>68.6</v>
      </c>
      <c r="W1190">
        <v>3426</v>
      </c>
      <c r="X1190">
        <v>20</v>
      </c>
      <c r="Y1190" t="s">
        <v>718</v>
      </c>
    </row>
    <row r="1191" spans="1:25">
      <c r="A1191" t="s">
        <v>2049</v>
      </c>
      <c r="B1191" s="2" t="str">
        <f>Hyperlink("https://www.diodes.com/datasheet/download/DMP4013LFGQ.pdf")</f>
        <v>https://www.diodes.com/datasheet/download/DMP4013LFGQ.pdf</v>
      </c>
      <c r="C1191" t="str">
        <f>Hyperlink("https://www.diodes.com/part/view/DMP4013LFGQ","DMP4013LFGQ")</f>
        <v>DMP4013LFGQ</v>
      </c>
      <c r="D1191" t="s">
        <v>2031</v>
      </c>
      <c r="E1191" t="s">
        <v>27</v>
      </c>
      <c r="F1191" t="s">
        <v>37</v>
      </c>
      <c r="G1191" t="s">
        <v>75</v>
      </c>
      <c r="H1191" t="s">
        <v>30</v>
      </c>
      <c r="I1191">
        <v>40</v>
      </c>
      <c r="J1191">
        <v>20</v>
      </c>
      <c r="K1191">
        <v>10.3</v>
      </c>
      <c r="M1191">
        <v>2.1</v>
      </c>
      <c r="O1191">
        <v>13</v>
      </c>
      <c r="P1191">
        <v>18</v>
      </c>
      <c r="T1191">
        <v>3</v>
      </c>
      <c r="U1191">
        <v>32.5</v>
      </c>
      <c r="V1191">
        <v>68.6</v>
      </c>
      <c r="X1191">
        <v>20</v>
      </c>
      <c r="Y1191" t="s">
        <v>718</v>
      </c>
    </row>
    <row r="1192" spans="1:25">
      <c r="A1192" t="s">
        <v>2050</v>
      </c>
      <c r="B1192" s="2" t="str">
        <f>Hyperlink("https://www.diodes.com/datasheet/download/DMP4013SPS.pdf")</f>
        <v>https://www.diodes.com/datasheet/download/DMP4013SPS.pdf</v>
      </c>
      <c r="C1192" t="str">
        <f>Hyperlink("https://www.diodes.com/part/view/DMP4013SPS","DMP4013SPS")</f>
        <v>DMP4013SPS</v>
      </c>
      <c r="D1192" t="s">
        <v>2031</v>
      </c>
      <c r="E1192" t="s">
        <v>27</v>
      </c>
      <c r="F1192" t="s">
        <v>28</v>
      </c>
      <c r="G1192" t="s">
        <v>75</v>
      </c>
      <c r="H1192" t="s">
        <v>30</v>
      </c>
      <c r="I1192">
        <v>40</v>
      </c>
      <c r="J1192">
        <v>20</v>
      </c>
      <c r="K1192">
        <v>11</v>
      </c>
      <c r="M1192">
        <v>3.4</v>
      </c>
      <c r="O1192">
        <v>15</v>
      </c>
      <c r="P1192">
        <v>23</v>
      </c>
      <c r="T1192">
        <v>3</v>
      </c>
      <c r="U1192">
        <v>31</v>
      </c>
      <c r="V1192">
        <v>67</v>
      </c>
      <c r="W1192">
        <v>4004</v>
      </c>
      <c r="X1192">
        <v>20</v>
      </c>
      <c r="Y1192" t="s">
        <v>907</v>
      </c>
    </row>
    <row r="1193" spans="1:25">
      <c r="A1193" t="s">
        <v>2051</v>
      </c>
      <c r="B1193" s="2" t="str">
        <f>Hyperlink("https://www.diodes.com/datasheet/download/DMP4013SPSQ.pdf")</f>
        <v>https://www.diodes.com/datasheet/download/DMP4013SPSQ.pdf</v>
      </c>
      <c r="C1193" t="str">
        <f>Hyperlink("https://www.diodes.com/part/view/DMP4013SPSQ","DMP4013SPSQ")</f>
        <v>DMP4013SPSQ</v>
      </c>
      <c r="D1193" t="s">
        <v>74</v>
      </c>
      <c r="E1193" t="s">
        <v>27</v>
      </c>
      <c r="F1193" t="s">
        <v>37</v>
      </c>
      <c r="G1193" t="s">
        <v>75</v>
      </c>
      <c r="H1193" t="s">
        <v>30</v>
      </c>
      <c r="I1193">
        <v>40</v>
      </c>
      <c r="J1193">
        <v>20</v>
      </c>
      <c r="K1193">
        <v>11</v>
      </c>
      <c r="M1193">
        <v>3.4</v>
      </c>
      <c r="O1193">
        <v>15</v>
      </c>
      <c r="P1193">
        <v>23</v>
      </c>
      <c r="T1193">
        <v>3</v>
      </c>
      <c r="U1193">
        <v>31</v>
      </c>
      <c r="V1193">
        <v>67</v>
      </c>
      <c r="X1193">
        <v>20</v>
      </c>
      <c r="Y1193" t="s">
        <v>907</v>
      </c>
    </row>
    <row r="1194" spans="1:25">
      <c r="A1194" t="s">
        <v>2052</v>
      </c>
      <c r="B1194" s="2" t="str">
        <f>Hyperlink("https://www.diodes.com/datasheet/download/DMP4013SPSW.pdf")</f>
        <v>https://www.diodes.com/datasheet/download/DMP4013SPSW.pdf</v>
      </c>
      <c r="C1194" t="str">
        <f>Hyperlink("https://www.diodes.com/part/view/DMP4013SPSW","DMP4013SPSW")</f>
        <v>DMP4013SPSW</v>
      </c>
      <c r="D1194" t="s">
        <v>1645</v>
      </c>
      <c r="E1194" t="s">
        <v>27</v>
      </c>
      <c r="F1194" t="s">
        <v>28</v>
      </c>
      <c r="G1194" t="s">
        <v>75</v>
      </c>
      <c r="H1194" t="s">
        <v>30</v>
      </c>
      <c r="I1194">
        <v>40</v>
      </c>
      <c r="J1194">
        <v>20</v>
      </c>
      <c r="K1194">
        <v>11</v>
      </c>
      <c r="L1194">
        <v>61</v>
      </c>
      <c r="M1194">
        <v>3.4</v>
      </c>
      <c r="O1194">
        <v>15</v>
      </c>
      <c r="P1194">
        <v>23</v>
      </c>
      <c r="S1194">
        <v>1</v>
      </c>
      <c r="T1194">
        <v>3</v>
      </c>
      <c r="U1194">
        <v>31</v>
      </c>
      <c r="V1194">
        <v>67</v>
      </c>
      <c r="W1194">
        <v>4004</v>
      </c>
      <c r="X1194">
        <v>20</v>
      </c>
      <c r="Y1194" t="s">
        <v>1546</v>
      </c>
    </row>
    <row r="1195" spans="1:25">
      <c r="A1195" t="s">
        <v>2053</v>
      </c>
      <c r="B1195" s="2" t="str">
        <f>Hyperlink("https://www.diodes.com/datasheet/download/DMP4013SPSWQ.pdf")</f>
        <v>https://www.diodes.com/datasheet/download/DMP4013SPSWQ.pdf</v>
      </c>
      <c r="C1195" t="str">
        <f>Hyperlink("https://www.diodes.com/part/view/DMP4013SPSWQ","DMP4013SPSWQ")</f>
        <v>DMP4013SPSWQ</v>
      </c>
      <c r="D1195" t="s">
        <v>1645</v>
      </c>
      <c r="E1195" t="s">
        <v>27</v>
      </c>
      <c r="F1195" t="s">
        <v>37</v>
      </c>
      <c r="G1195" t="s">
        <v>75</v>
      </c>
      <c r="H1195" t="s">
        <v>30</v>
      </c>
      <c r="I1195">
        <v>40</v>
      </c>
      <c r="J1195">
        <v>20</v>
      </c>
      <c r="K1195">
        <v>11</v>
      </c>
      <c r="L1195">
        <v>61</v>
      </c>
      <c r="M1195">
        <v>3.4</v>
      </c>
      <c r="O1195">
        <v>15</v>
      </c>
      <c r="P1195">
        <v>23</v>
      </c>
      <c r="S1195">
        <v>1</v>
      </c>
      <c r="T1195">
        <v>3</v>
      </c>
      <c r="U1195">
        <v>31</v>
      </c>
      <c r="V1195">
        <v>67</v>
      </c>
      <c r="W1195">
        <v>4004</v>
      </c>
      <c r="X1195">
        <v>20</v>
      </c>
      <c r="Y1195" t="s">
        <v>1546</v>
      </c>
    </row>
    <row r="1196" spans="1:25">
      <c r="A1196" t="s">
        <v>2054</v>
      </c>
      <c r="B1196" s="2" t="str">
        <f>Hyperlink("https://www.diodes.com/datasheet/download/DMP4015SK3.pdf")</f>
        <v>https://www.diodes.com/datasheet/download/DMP4015SK3.pdf</v>
      </c>
      <c r="C1196" t="str">
        <f>Hyperlink("https://www.diodes.com/part/view/DMP4015SK3","DMP4015SK3")</f>
        <v>DMP4015SK3</v>
      </c>
      <c r="D1196" t="s">
        <v>74</v>
      </c>
      <c r="E1196" t="s">
        <v>27</v>
      </c>
      <c r="F1196" t="s">
        <v>28</v>
      </c>
      <c r="G1196" t="s">
        <v>75</v>
      </c>
      <c r="H1196" t="s">
        <v>30</v>
      </c>
      <c r="I1196">
        <v>40</v>
      </c>
      <c r="J1196">
        <v>25</v>
      </c>
      <c r="K1196">
        <v>14</v>
      </c>
      <c r="M1196">
        <v>3.5</v>
      </c>
      <c r="O1196">
        <v>11</v>
      </c>
      <c r="P1196">
        <v>15</v>
      </c>
      <c r="T1196">
        <v>2.5</v>
      </c>
      <c r="U1196" t="s">
        <v>2055</v>
      </c>
      <c r="W1196">
        <v>4234</v>
      </c>
      <c r="Y1196" t="s">
        <v>681</v>
      </c>
    </row>
    <row r="1197" spans="1:25">
      <c r="A1197" t="s">
        <v>2056</v>
      </c>
      <c r="B1197" s="2" t="str">
        <f>Hyperlink("https://www.diodes.com/datasheet/download/DMP4015SK3Q.pdf")</f>
        <v>https://www.diodes.com/datasheet/download/DMP4015SK3Q.pdf</v>
      </c>
      <c r="C1197" t="str">
        <f>Hyperlink("https://www.diodes.com/part/view/DMP4015SK3Q","DMP4015SK3Q")</f>
        <v>DMP4015SK3Q</v>
      </c>
      <c r="D1197" t="s">
        <v>74</v>
      </c>
      <c r="E1197" t="s">
        <v>27</v>
      </c>
      <c r="F1197" t="s">
        <v>37</v>
      </c>
      <c r="G1197" t="s">
        <v>75</v>
      </c>
      <c r="H1197" t="s">
        <v>30</v>
      </c>
      <c r="I1197">
        <v>40</v>
      </c>
      <c r="J1197">
        <v>25</v>
      </c>
      <c r="K1197">
        <v>14</v>
      </c>
      <c r="L1197">
        <v>35</v>
      </c>
      <c r="M1197">
        <v>3.5</v>
      </c>
      <c r="O1197">
        <v>11</v>
      </c>
      <c r="P1197">
        <v>15</v>
      </c>
      <c r="S1197">
        <v>1.5</v>
      </c>
      <c r="T1197">
        <v>2.5</v>
      </c>
      <c r="X1197">
        <v>20</v>
      </c>
      <c r="Y1197" t="s">
        <v>681</v>
      </c>
    </row>
    <row r="1198" spans="1:25">
      <c r="A1198" t="s">
        <v>2057</v>
      </c>
      <c r="B1198" s="2" t="str">
        <f>Hyperlink("https://www.diodes.com/datasheet/download/DMP4015SPS.pdf")</f>
        <v>https://www.diodes.com/datasheet/download/DMP4015SPS.pdf</v>
      </c>
      <c r="C1198" t="str">
        <f>Hyperlink("https://www.diodes.com/part/view/DMP4015SPS","DMP4015SPS")</f>
        <v>DMP4015SPS</v>
      </c>
      <c r="D1198" t="s">
        <v>2031</v>
      </c>
      <c r="E1198" t="s">
        <v>27</v>
      </c>
      <c r="F1198" t="s">
        <v>28</v>
      </c>
      <c r="G1198" t="s">
        <v>75</v>
      </c>
      <c r="H1198" t="s">
        <v>30</v>
      </c>
      <c r="I1198">
        <v>40</v>
      </c>
      <c r="J1198">
        <v>25</v>
      </c>
      <c r="K1198">
        <v>11</v>
      </c>
      <c r="M1198">
        <v>2.1</v>
      </c>
      <c r="O1198">
        <v>11</v>
      </c>
      <c r="P1198">
        <v>15</v>
      </c>
      <c r="T1198">
        <v>2.5</v>
      </c>
      <c r="U1198" t="s">
        <v>2055</v>
      </c>
      <c r="W1198">
        <v>4234</v>
      </c>
      <c r="Y1198" t="s">
        <v>2029</v>
      </c>
    </row>
    <row r="1199" spans="1:25">
      <c r="A1199" t="s">
        <v>2058</v>
      </c>
      <c r="B1199" s="2" t="str">
        <f>Hyperlink("https://www.diodes.com/datasheet/download/DMP4015SPSQ.pdf")</f>
        <v>https://www.diodes.com/datasheet/download/DMP4015SPSQ.pdf</v>
      </c>
      <c r="C1199" t="str">
        <f>Hyperlink("https://www.diodes.com/part/view/DMP4015SPSQ","DMP4015SPSQ")</f>
        <v>DMP4015SPSQ</v>
      </c>
      <c r="D1199" t="s">
        <v>2031</v>
      </c>
      <c r="E1199" t="s">
        <v>27</v>
      </c>
      <c r="F1199" t="s">
        <v>37</v>
      </c>
      <c r="G1199" t="s">
        <v>75</v>
      </c>
      <c r="H1199" t="s">
        <v>30</v>
      </c>
      <c r="I1199">
        <v>40</v>
      </c>
      <c r="J1199">
        <v>25</v>
      </c>
      <c r="K1199">
        <v>11</v>
      </c>
      <c r="M1199">
        <v>2.1</v>
      </c>
      <c r="O1199">
        <v>11</v>
      </c>
      <c r="P1199">
        <v>15</v>
      </c>
      <c r="T1199">
        <v>2.5</v>
      </c>
      <c r="U1199">
        <v>47.5</v>
      </c>
      <c r="Y1199" t="s">
        <v>907</v>
      </c>
    </row>
    <row r="1200" spans="1:25">
      <c r="A1200" t="s">
        <v>2059</v>
      </c>
      <c r="B1200" s="2" t="str">
        <f>Hyperlink("https://www.diodes.com/datasheet/download/DMP4015SPSW.pdf")</f>
        <v>https://www.diodes.com/datasheet/download/DMP4015SPSW.pdf</v>
      </c>
      <c r="C1200" t="str">
        <f>Hyperlink("https://www.diodes.com/part/view/DMP4015SPSW","DMP4015SPSW")</f>
        <v>DMP4015SPSW</v>
      </c>
      <c r="D1200" t="s">
        <v>2035</v>
      </c>
      <c r="E1200" t="s">
        <v>27</v>
      </c>
      <c r="F1200" t="s">
        <v>28</v>
      </c>
      <c r="G1200" t="s">
        <v>75</v>
      </c>
      <c r="H1200" t="s">
        <v>30</v>
      </c>
      <c r="I1200">
        <v>40</v>
      </c>
      <c r="J1200">
        <v>20</v>
      </c>
      <c r="K1200">
        <v>11</v>
      </c>
      <c r="M1200">
        <v>2.1</v>
      </c>
      <c r="O1200">
        <v>11</v>
      </c>
      <c r="P1200">
        <v>15</v>
      </c>
      <c r="S1200">
        <v>1.5</v>
      </c>
      <c r="T1200">
        <v>2.5</v>
      </c>
      <c r="U1200" t="s">
        <v>2060</v>
      </c>
      <c r="W1200">
        <v>4234</v>
      </c>
      <c r="X1200">
        <v>20</v>
      </c>
      <c r="Y1200" t="s">
        <v>1546</v>
      </c>
    </row>
    <row r="1201" spans="1:25">
      <c r="A1201" t="s">
        <v>2061</v>
      </c>
      <c r="B1201" s="2" t="str">
        <f>Hyperlink("https://www.diodes.com/datasheet/download/DMP4015SPSWQ.pdf")</f>
        <v>https://www.diodes.com/datasheet/download/DMP4015SPSWQ.pdf</v>
      </c>
      <c r="C1201" t="str">
        <f>Hyperlink("https://www.diodes.com/part/view/DMP4015SPSWQ","DMP4015SPSWQ")</f>
        <v>DMP4015SPSWQ</v>
      </c>
      <c r="D1201" t="s">
        <v>2031</v>
      </c>
      <c r="E1201" t="s">
        <v>27</v>
      </c>
      <c r="F1201" t="s">
        <v>37</v>
      </c>
      <c r="G1201" t="s">
        <v>75</v>
      </c>
      <c r="H1201" t="s">
        <v>30</v>
      </c>
      <c r="I1201">
        <v>40</v>
      </c>
      <c r="J1201">
        <v>25</v>
      </c>
      <c r="K1201">
        <v>11</v>
      </c>
      <c r="M1201">
        <v>2.1</v>
      </c>
      <c r="O1201">
        <v>11</v>
      </c>
      <c r="P1201">
        <v>15</v>
      </c>
      <c r="S1201">
        <v>1.5</v>
      </c>
      <c r="T1201">
        <v>2.5</v>
      </c>
      <c r="W1201">
        <v>4234</v>
      </c>
      <c r="X1201">
        <v>20</v>
      </c>
      <c r="Y1201" t="s">
        <v>1546</v>
      </c>
    </row>
    <row r="1202" spans="1:25">
      <c r="A1202" t="s">
        <v>2062</v>
      </c>
      <c r="B1202" s="2" t="str">
        <f>Hyperlink("https://www.diodes.com/datasheet/download/DMP4015SSS.pdf")</f>
        <v>https://www.diodes.com/datasheet/download/DMP4015SSS.pdf</v>
      </c>
      <c r="C1202" t="str">
        <f>Hyperlink("https://www.diodes.com/part/view/DMP4015SSS","DMP4015SSS")</f>
        <v>DMP4015SSS</v>
      </c>
      <c r="D1202" t="s">
        <v>74</v>
      </c>
      <c r="E1202" t="s">
        <v>27</v>
      </c>
      <c r="F1202" t="s">
        <v>28</v>
      </c>
      <c r="G1202" t="s">
        <v>75</v>
      </c>
      <c r="H1202" t="s">
        <v>30</v>
      </c>
      <c r="I1202">
        <v>40</v>
      </c>
      <c r="J1202">
        <v>25</v>
      </c>
      <c r="K1202">
        <v>10.1</v>
      </c>
      <c r="M1202">
        <v>1.82</v>
      </c>
      <c r="O1202">
        <v>11</v>
      </c>
      <c r="P1202">
        <v>15</v>
      </c>
      <c r="T1202">
        <v>2.5</v>
      </c>
      <c r="U1202" t="s">
        <v>2055</v>
      </c>
      <c r="W1202">
        <v>4234</v>
      </c>
      <c r="Y1202" t="s">
        <v>213</v>
      </c>
    </row>
    <row r="1203" spans="1:25">
      <c r="A1203" t="s">
        <v>2063</v>
      </c>
      <c r="B1203" s="2" t="str">
        <f>Hyperlink("https://www.diodes.com/datasheet/download/DMP4015SSSQ.pdf")</f>
        <v>https://www.diodes.com/datasheet/download/DMP4015SSSQ.pdf</v>
      </c>
      <c r="C1203" t="str">
        <f>Hyperlink("https://www.diodes.com/part/view/DMP4015SSSQ","DMP4015SSSQ")</f>
        <v>DMP4015SSSQ</v>
      </c>
      <c r="D1203" t="s">
        <v>74</v>
      </c>
      <c r="E1203" t="s">
        <v>27</v>
      </c>
      <c r="F1203" t="s">
        <v>37</v>
      </c>
      <c r="G1203" t="s">
        <v>75</v>
      </c>
      <c r="H1203" t="s">
        <v>30</v>
      </c>
      <c r="I1203">
        <v>40</v>
      </c>
      <c r="J1203">
        <v>25</v>
      </c>
      <c r="K1203">
        <v>10.1</v>
      </c>
      <c r="M1203">
        <v>1.82</v>
      </c>
      <c r="O1203">
        <v>11</v>
      </c>
      <c r="P1203">
        <v>15</v>
      </c>
      <c r="T1203">
        <v>2.5</v>
      </c>
      <c r="U1203" t="s">
        <v>2055</v>
      </c>
      <c r="Y1203" t="s">
        <v>213</v>
      </c>
    </row>
    <row r="1204" spans="1:25">
      <c r="A1204" t="s">
        <v>2064</v>
      </c>
      <c r="B1204" s="2" t="str">
        <f>Hyperlink("https://www.diodes.com/datasheet/download/DMP4016SK3.pdf")</f>
        <v>https://www.diodes.com/datasheet/download/DMP4016SK3.pdf</v>
      </c>
      <c r="C1204" t="str">
        <f>Hyperlink("https://www.diodes.com/part/view/DMP4016SK3","DMP4016SK3")</f>
        <v>DMP4016SK3</v>
      </c>
      <c r="D1204" t="s">
        <v>2035</v>
      </c>
      <c r="E1204" t="s">
        <v>30</v>
      </c>
      <c r="F1204" t="s">
        <v>28</v>
      </c>
      <c r="G1204" t="s">
        <v>75</v>
      </c>
      <c r="H1204" t="s">
        <v>30</v>
      </c>
      <c r="I1204">
        <v>40</v>
      </c>
      <c r="J1204">
        <v>20</v>
      </c>
      <c r="L1204">
        <v>75</v>
      </c>
      <c r="M1204">
        <v>4</v>
      </c>
      <c r="N1204">
        <v>113</v>
      </c>
      <c r="O1204">
        <v>11</v>
      </c>
      <c r="P1204">
        <v>15</v>
      </c>
      <c r="S1204">
        <v>1.5</v>
      </c>
      <c r="T1204">
        <v>2.5</v>
      </c>
      <c r="U1204">
        <v>53</v>
      </c>
      <c r="V1204">
        <v>112</v>
      </c>
      <c r="W1204">
        <v>5697</v>
      </c>
      <c r="X1204">
        <v>20</v>
      </c>
      <c r="Y1204" t="s">
        <v>681</v>
      </c>
    </row>
    <row r="1205" spans="1:25">
      <c r="A1205" t="s">
        <v>2065</v>
      </c>
      <c r="B1205" s="2" t="str">
        <f>Hyperlink("https://www.diodes.com/datasheet/download/DMP4016SK3Q.pdf")</f>
        <v>https://www.diodes.com/datasheet/download/DMP4016SK3Q.pdf</v>
      </c>
      <c r="C1205" t="str">
        <f>Hyperlink("https://www.diodes.com/part/view/DMP4016SK3Q","DMP4016SK3Q")</f>
        <v>DMP4016SK3Q</v>
      </c>
      <c r="D1205" t="s">
        <v>2035</v>
      </c>
      <c r="E1205" t="s">
        <v>27</v>
      </c>
      <c r="F1205" t="s">
        <v>37</v>
      </c>
      <c r="G1205" t="s">
        <v>75</v>
      </c>
      <c r="H1205" t="s">
        <v>30</v>
      </c>
      <c r="I1205">
        <v>40</v>
      </c>
      <c r="J1205">
        <v>20</v>
      </c>
      <c r="L1205">
        <v>75</v>
      </c>
      <c r="M1205">
        <v>4</v>
      </c>
      <c r="N1205">
        <v>113</v>
      </c>
      <c r="O1205">
        <v>11</v>
      </c>
      <c r="P1205">
        <v>15</v>
      </c>
      <c r="S1205">
        <v>1.5</v>
      </c>
      <c r="T1205">
        <v>2.5</v>
      </c>
      <c r="U1205">
        <v>53</v>
      </c>
      <c r="V1205">
        <v>112</v>
      </c>
      <c r="W1205">
        <v>5697</v>
      </c>
      <c r="X1205">
        <v>20</v>
      </c>
      <c r="Y1205" t="s">
        <v>681</v>
      </c>
    </row>
    <row r="1206" spans="1:25">
      <c r="A1206" t="s">
        <v>2066</v>
      </c>
      <c r="B1206" s="2" t="str">
        <f>Hyperlink("https://www.diodes.com/datasheet/download/DMP4016SPSW.pdf")</f>
        <v>https://www.diodes.com/datasheet/download/DMP4016SPSW.pdf</v>
      </c>
      <c r="C1206" t="str">
        <f>Hyperlink("https://www.diodes.com/part/view/DMP4016SPSW","DMP4016SPSW")</f>
        <v>DMP4016SPSW</v>
      </c>
      <c r="D1206" t="s">
        <v>2035</v>
      </c>
      <c r="E1206" t="s">
        <v>30</v>
      </c>
      <c r="F1206" t="s">
        <v>28</v>
      </c>
      <c r="G1206" t="s">
        <v>75</v>
      </c>
      <c r="H1206" t="s">
        <v>30</v>
      </c>
      <c r="I1206">
        <v>40</v>
      </c>
      <c r="J1206">
        <v>20</v>
      </c>
      <c r="L1206">
        <v>86</v>
      </c>
      <c r="M1206">
        <v>3.9</v>
      </c>
      <c r="N1206">
        <v>119</v>
      </c>
      <c r="O1206">
        <v>10</v>
      </c>
      <c r="P1206">
        <v>14</v>
      </c>
      <c r="S1206">
        <v>1.5</v>
      </c>
      <c r="T1206">
        <v>2.5</v>
      </c>
      <c r="U1206">
        <v>53</v>
      </c>
      <c r="V1206">
        <v>112</v>
      </c>
      <c r="W1206">
        <v>5697</v>
      </c>
      <c r="X1206">
        <v>20</v>
      </c>
      <c r="Y1206" t="s">
        <v>1546</v>
      </c>
    </row>
    <row r="1207" spans="1:25">
      <c r="A1207" t="s">
        <v>2067</v>
      </c>
      <c r="B1207" s="2" t="str">
        <f>Hyperlink("https://www.diodes.com/datasheet/download/DMP4016SPSWQ.pdf")</f>
        <v>https://www.diodes.com/datasheet/download/DMP4016SPSWQ.pdf</v>
      </c>
      <c r="C1207" t="str">
        <f>Hyperlink("https://www.diodes.com/part/view/DMP4016SPSWQ","DMP4016SPSWQ")</f>
        <v>DMP4016SPSWQ</v>
      </c>
      <c r="D1207" t="s">
        <v>2035</v>
      </c>
      <c r="E1207" t="s">
        <v>27</v>
      </c>
      <c r="F1207" t="s">
        <v>37</v>
      </c>
      <c r="G1207" t="s">
        <v>75</v>
      </c>
      <c r="H1207" t="s">
        <v>30</v>
      </c>
      <c r="I1207">
        <v>40</v>
      </c>
      <c r="J1207">
        <v>20</v>
      </c>
      <c r="L1207">
        <v>86</v>
      </c>
      <c r="M1207">
        <v>3.9</v>
      </c>
      <c r="N1207">
        <v>119</v>
      </c>
      <c r="O1207">
        <v>10</v>
      </c>
      <c r="P1207">
        <v>14</v>
      </c>
      <c r="S1207">
        <v>1.5</v>
      </c>
      <c r="T1207">
        <v>2.5</v>
      </c>
      <c r="U1207">
        <v>53</v>
      </c>
      <c r="V1207">
        <v>112</v>
      </c>
      <c r="W1207">
        <v>5697</v>
      </c>
      <c r="X1207">
        <v>20</v>
      </c>
      <c r="Y1207" t="s">
        <v>1546</v>
      </c>
    </row>
    <row r="1208" spans="1:25">
      <c r="A1208" t="s">
        <v>2068</v>
      </c>
      <c r="B1208" s="2" t="str">
        <f>Hyperlink("https://www.diodes.com/datasheet/download/DMP4016SSS.pdf")</f>
        <v>https://www.diodes.com/datasheet/download/DMP4016SSS.pdf</v>
      </c>
      <c r="C1208" t="str">
        <f>Hyperlink("https://www.diodes.com/part/view/DMP4016SSS","DMP4016SSS")</f>
        <v>DMP4016SSS</v>
      </c>
      <c r="D1208" t="s">
        <v>2035</v>
      </c>
      <c r="E1208" t="s">
        <v>30</v>
      </c>
      <c r="F1208" t="s">
        <v>28</v>
      </c>
      <c r="G1208" t="s">
        <v>75</v>
      </c>
      <c r="H1208" t="s">
        <v>30</v>
      </c>
      <c r="I1208">
        <v>40</v>
      </c>
      <c r="J1208">
        <v>20</v>
      </c>
      <c r="K1208">
        <v>10.8</v>
      </c>
      <c r="M1208">
        <v>2.1</v>
      </c>
      <c r="O1208">
        <v>11</v>
      </c>
      <c r="P1208">
        <v>15</v>
      </c>
      <c r="S1208">
        <v>1.5</v>
      </c>
      <c r="T1208">
        <v>2.5</v>
      </c>
      <c r="U1208">
        <v>53</v>
      </c>
      <c r="V1208">
        <v>112</v>
      </c>
      <c r="W1208">
        <v>5697</v>
      </c>
      <c r="X1208">
        <v>20</v>
      </c>
      <c r="Y1208" t="s">
        <v>213</v>
      </c>
    </row>
    <row r="1209" spans="1:25">
      <c r="A1209" t="s">
        <v>2069</v>
      </c>
      <c r="B1209" s="2" t="str">
        <f>Hyperlink("https://www.diodes.com/datasheet/download/DMP4016SSSQ.pdf")</f>
        <v>https://www.diodes.com/datasheet/download/DMP4016SSSQ.pdf</v>
      </c>
      <c r="C1209" t="str">
        <f>Hyperlink("https://www.diodes.com/part/view/DMP4016SSSQ","DMP4016SSSQ")</f>
        <v>DMP4016SSSQ</v>
      </c>
      <c r="D1209" t="s">
        <v>2035</v>
      </c>
      <c r="E1209" t="s">
        <v>27</v>
      </c>
      <c r="F1209" t="s">
        <v>37</v>
      </c>
      <c r="G1209" t="s">
        <v>75</v>
      </c>
      <c r="H1209" t="s">
        <v>30</v>
      </c>
      <c r="I1209">
        <v>40</v>
      </c>
      <c r="J1209">
        <v>20</v>
      </c>
      <c r="K1209">
        <v>10.8</v>
      </c>
      <c r="M1209">
        <v>2.1</v>
      </c>
      <c r="O1209">
        <v>11</v>
      </c>
      <c r="P1209">
        <v>15</v>
      </c>
      <c r="S1209">
        <v>1.5</v>
      </c>
      <c r="T1209">
        <v>2.5</v>
      </c>
      <c r="U1209">
        <v>53</v>
      </c>
      <c r="V1209">
        <v>112</v>
      </c>
      <c r="W1209">
        <v>5697</v>
      </c>
      <c r="X1209">
        <v>20</v>
      </c>
      <c r="Y1209" t="s">
        <v>213</v>
      </c>
    </row>
    <row r="1210" spans="1:25">
      <c r="A1210" t="s">
        <v>2070</v>
      </c>
      <c r="B1210" s="2" t="str">
        <f>Hyperlink("https://www.diodes.com/datasheet/download/DMP4025LK3Q.pdf")</f>
        <v>https://www.diodes.com/datasheet/download/DMP4025LK3Q.pdf</v>
      </c>
      <c r="C1210" t="str">
        <f>Hyperlink("https://www.diodes.com/part/view/DMP4025LK3Q","DMP4025LK3Q")</f>
        <v>DMP4025LK3Q</v>
      </c>
      <c r="D1210" t="s">
        <v>2031</v>
      </c>
      <c r="E1210" t="s">
        <v>27</v>
      </c>
      <c r="F1210" t="s">
        <v>37</v>
      </c>
      <c r="G1210" t="s">
        <v>75</v>
      </c>
      <c r="H1210" t="s">
        <v>30</v>
      </c>
      <c r="I1210">
        <v>40</v>
      </c>
      <c r="J1210">
        <v>20</v>
      </c>
      <c r="K1210">
        <v>8.6</v>
      </c>
      <c r="M1210">
        <v>2.78</v>
      </c>
      <c r="O1210">
        <v>25</v>
      </c>
      <c r="P1210">
        <v>45</v>
      </c>
      <c r="T1210">
        <v>1.8</v>
      </c>
      <c r="U1210">
        <v>14</v>
      </c>
      <c r="V1210">
        <v>33.7</v>
      </c>
      <c r="X1210">
        <v>20</v>
      </c>
      <c r="Y1210" t="s">
        <v>681</v>
      </c>
    </row>
    <row r="1211" spans="1:25">
      <c r="A1211" t="s">
        <v>2071</v>
      </c>
      <c r="B1211" s="2" t="str">
        <f>Hyperlink("https://www.diodes.com/datasheet/download/DMP4025LSS.pdf")</f>
        <v>https://www.diodes.com/datasheet/download/DMP4025LSS.pdf</v>
      </c>
      <c r="C1211" t="str">
        <f>Hyperlink("https://www.diodes.com/part/view/DMP4025LSS","DMP4025LSS")</f>
        <v>DMP4025LSS</v>
      </c>
      <c r="D1211" t="s">
        <v>74</v>
      </c>
      <c r="E1211" t="s">
        <v>27</v>
      </c>
      <c r="F1211" t="s">
        <v>28</v>
      </c>
      <c r="G1211" t="s">
        <v>75</v>
      </c>
      <c r="H1211" t="s">
        <v>30</v>
      </c>
      <c r="I1211">
        <v>40</v>
      </c>
      <c r="J1211">
        <v>20</v>
      </c>
      <c r="K1211">
        <v>8</v>
      </c>
      <c r="M1211">
        <v>2.4</v>
      </c>
      <c r="O1211">
        <v>25</v>
      </c>
      <c r="P1211">
        <v>45</v>
      </c>
      <c r="T1211">
        <v>1.8</v>
      </c>
      <c r="U1211">
        <v>14</v>
      </c>
      <c r="V1211">
        <v>33.7</v>
      </c>
      <c r="W1211">
        <v>1640</v>
      </c>
      <c r="Y1211" t="s">
        <v>213</v>
      </c>
    </row>
    <row r="1212" spans="1:25">
      <c r="A1212" t="s">
        <v>2072</v>
      </c>
      <c r="B1212" s="2" t="str">
        <f>Hyperlink("https://www.diodes.com/datasheet/download/DMP4025LSSQ.pdf")</f>
        <v>https://www.diodes.com/datasheet/download/DMP4025LSSQ.pdf</v>
      </c>
      <c r="C1212" t="str">
        <f>Hyperlink("https://www.diodes.com/part/view/DMP4025LSSQ","DMP4025LSSQ")</f>
        <v>DMP4025LSSQ</v>
      </c>
      <c r="D1212" t="s">
        <v>2031</v>
      </c>
      <c r="E1212" t="s">
        <v>27</v>
      </c>
      <c r="F1212" t="s">
        <v>37</v>
      </c>
      <c r="G1212" t="s">
        <v>75</v>
      </c>
      <c r="H1212" t="s">
        <v>30</v>
      </c>
      <c r="I1212">
        <v>40</v>
      </c>
      <c r="J1212">
        <v>20</v>
      </c>
      <c r="K1212">
        <v>8</v>
      </c>
      <c r="M1212">
        <v>2.4</v>
      </c>
      <c r="O1212">
        <v>25</v>
      </c>
      <c r="P1212">
        <v>45</v>
      </c>
      <c r="T1212">
        <v>1.8</v>
      </c>
      <c r="U1212">
        <v>14</v>
      </c>
      <c r="V1212">
        <v>33.7</v>
      </c>
      <c r="X1212">
        <v>20</v>
      </c>
      <c r="Y1212" t="s">
        <v>213</v>
      </c>
    </row>
    <row r="1213" spans="1:25">
      <c r="A1213" t="s">
        <v>2073</v>
      </c>
      <c r="B1213" s="2" t="str">
        <f>Hyperlink("https://www.diodes.com/datasheet/download/DMP4026LK3.pdf")</f>
        <v>https://www.diodes.com/datasheet/download/DMP4026LK3.pdf</v>
      </c>
      <c r="C1213" t="str">
        <f>Hyperlink("https://www.diodes.com/part/view/DMP4026LK3","DMP4026LK3")</f>
        <v>DMP4026LK3</v>
      </c>
      <c r="D1213" t="s">
        <v>2035</v>
      </c>
      <c r="E1213" t="s">
        <v>30</v>
      </c>
      <c r="F1213" t="s">
        <v>28</v>
      </c>
      <c r="G1213" t="s">
        <v>75</v>
      </c>
      <c r="H1213" t="s">
        <v>30</v>
      </c>
      <c r="I1213">
        <v>40</v>
      </c>
      <c r="J1213">
        <v>20</v>
      </c>
      <c r="L1213">
        <v>40</v>
      </c>
      <c r="M1213">
        <v>3.5</v>
      </c>
      <c r="N1213">
        <v>70</v>
      </c>
      <c r="O1213">
        <v>25</v>
      </c>
      <c r="P1213">
        <v>45</v>
      </c>
      <c r="S1213">
        <v>0.8</v>
      </c>
      <c r="T1213">
        <v>1.8</v>
      </c>
      <c r="U1213">
        <v>23.5</v>
      </c>
      <c r="V1213">
        <v>45.8</v>
      </c>
      <c r="W1213">
        <v>2064</v>
      </c>
      <c r="X1213">
        <v>20</v>
      </c>
      <c r="Y1213" t="s">
        <v>681</v>
      </c>
    </row>
    <row r="1214" spans="1:25">
      <c r="A1214" t="s">
        <v>2074</v>
      </c>
      <c r="B1214" s="2" t="str">
        <f>Hyperlink("https://www.diodes.com/datasheet/download/DMP4026LK3Q.pdf")</f>
        <v>https://www.diodes.com/datasheet/download/DMP4026LK3Q.pdf</v>
      </c>
      <c r="C1214" t="str">
        <f>Hyperlink("https://www.diodes.com/part/view/DMP4026LK3Q","DMP4026LK3Q")</f>
        <v>DMP4026LK3Q</v>
      </c>
      <c r="D1214" t="s">
        <v>2035</v>
      </c>
      <c r="E1214" t="s">
        <v>27</v>
      </c>
      <c r="F1214" t="s">
        <v>37</v>
      </c>
      <c r="G1214" t="s">
        <v>75</v>
      </c>
      <c r="H1214" t="s">
        <v>30</v>
      </c>
      <c r="I1214">
        <v>40</v>
      </c>
      <c r="J1214">
        <v>20</v>
      </c>
      <c r="L1214">
        <v>40</v>
      </c>
      <c r="M1214">
        <v>3.5</v>
      </c>
      <c r="N1214">
        <v>70</v>
      </c>
      <c r="O1214">
        <v>25</v>
      </c>
      <c r="P1214">
        <v>45</v>
      </c>
      <c r="S1214">
        <v>0.8</v>
      </c>
      <c r="T1214">
        <v>1.8</v>
      </c>
      <c r="U1214">
        <v>23.5</v>
      </c>
      <c r="V1214">
        <v>45.8</v>
      </c>
      <c r="W1214">
        <v>2064</v>
      </c>
      <c r="X1214">
        <v>20</v>
      </c>
      <c r="Y1214" t="s">
        <v>681</v>
      </c>
    </row>
    <row r="1215" spans="1:25">
      <c r="A1215" t="s">
        <v>2075</v>
      </c>
      <c r="B1215" s="2" t="str">
        <f>Hyperlink("https://www.diodes.com/datasheet/download/DMP4026LSD.pdf")</f>
        <v>https://www.diodes.com/datasheet/download/DMP4026LSD.pdf</v>
      </c>
      <c r="C1215" t="str">
        <f>Hyperlink("https://www.diodes.com/part/view/DMP4026LSD","DMP4026LSD")</f>
        <v>DMP4026LSD</v>
      </c>
      <c r="D1215" t="s">
        <v>2076</v>
      </c>
      <c r="E1215" t="s">
        <v>27</v>
      </c>
      <c r="F1215" t="s">
        <v>28</v>
      </c>
      <c r="G1215" t="s">
        <v>124</v>
      </c>
      <c r="H1215" t="s">
        <v>30</v>
      </c>
      <c r="I1215">
        <v>40</v>
      </c>
      <c r="J1215">
        <v>20</v>
      </c>
      <c r="K1215">
        <v>6.5</v>
      </c>
      <c r="M1215">
        <v>1.7</v>
      </c>
      <c r="O1215">
        <v>25</v>
      </c>
      <c r="P1215">
        <v>45</v>
      </c>
      <c r="S1215">
        <v>0.8</v>
      </c>
      <c r="T1215">
        <v>1.8</v>
      </c>
      <c r="U1215">
        <v>23.5</v>
      </c>
      <c r="V1215">
        <v>45.8</v>
      </c>
      <c r="W1215">
        <v>2064</v>
      </c>
      <c r="X1215">
        <v>20</v>
      </c>
      <c r="Y1215" t="s">
        <v>213</v>
      </c>
    </row>
    <row r="1216" spans="1:25">
      <c r="A1216" t="s">
        <v>2077</v>
      </c>
      <c r="B1216" s="2" t="str">
        <f>Hyperlink("https://www.diodes.com/datasheet/download/DMP4026LSDQ.pdf")</f>
        <v>https://www.diodes.com/datasheet/download/DMP4026LSDQ.pdf</v>
      </c>
      <c r="C1216" t="str">
        <f>Hyperlink("https://www.diodes.com/part/view/DMP4026LSDQ","DMP4026LSDQ")</f>
        <v>DMP4026LSDQ</v>
      </c>
      <c r="D1216" t="s">
        <v>2076</v>
      </c>
      <c r="E1216" t="s">
        <v>27</v>
      </c>
      <c r="F1216" t="s">
        <v>37</v>
      </c>
      <c r="G1216" t="s">
        <v>124</v>
      </c>
      <c r="H1216" t="s">
        <v>30</v>
      </c>
      <c r="I1216">
        <v>40</v>
      </c>
      <c r="J1216">
        <v>20</v>
      </c>
      <c r="K1216">
        <v>6.5</v>
      </c>
      <c r="M1216">
        <v>1.7</v>
      </c>
      <c r="O1216">
        <v>25</v>
      </c>
      <c r="P1216">
        <v>45</v>
      </c>
      <c r="S1216">
        <v>0.8</v>
      </c>
      <c r="T1216">
        <v>1.8</v>
      </c>
      <c r="U1216">
        <v>23.5</v>
      </c>
      <c r="V1216">
        <v>45.8</v>
      </c>
      <c r="W1216">
        <v>2064</v>
      </c>
      <c r="X1216">
        <v>20</v>
      </c>
      <c r="Y1216" t="s">
        <v>213</v>
      </c>
    </row>
    <row r="1217" spans="1:25">
      <c r="A1217" t="s">
        <v>2078</v>
      </c>
      <c r="B1217" s="2" t="str">
        <f>Hyperlink("https://www.diodes.com/datasheet/download/DMP4026LSS.pdf")</f>
        <v>https://www.diodes.com/datasheet/download/DMP4026LSS.pdf</v>
      </c>
      <c r="C1217" t="str">
        <f>Hyperlink("https://www.diodes.com/part/view/DMP4026LSS","DMP4026LSS")</f>
        <v>DMP4026LSS</v>
      </c>
      <c r="D1217" t="s">
        <v>2035</v>
      </c>
      <c r="E1217" t="s">
        <v>27</v>
      </c>
      <c r="F1217" t="s">
        <v>28</v>
      </c>
      <c r="G1217" t="s">
        <v>75</v>
      </c>
      <c r="H1217" t="s">
        <v>30</v>
      </c>
      <c r="I1217">
        <v>40</v>
      </c>
      <c r="J1217">
        <v>20</v>
      </c>
      <c r="K1217">
        <v>7.2</v>
      </c>
      <c r="M1217">
        <v>2</v>
      </c>
      <c r="O1217">
        <v>25</v>
      </c>
      <c r="P1217">
        <v>45</v>
      </c>
      <c r="S1217">
        <v>0.8</v>
      </c>
      <c r="T1217">
        <v>1.8</v>
      </c>
      <c r="U1217">
        <v>23.5</v>
      </c>
      <c r="V1217">
        <v>45</v>
      </c>
      <c r="W1217">
        <v>2083</v>
      </c>
      <c r="X1217">
        <v>20</v>
      </c>
      <c r="Y1217" t="s">
        <v>213</v>
      </c>
    </row>
    <row r="1218" spans="1:25">
      <c r="A1218" t="s">
        <v>2079</v>
      </c>
      <c r="B1218" s="2" t="str">
        <f>Hyperlink("https://www.diodes.com/datasheet/download/DMP4026LSSQ.pdf")</f>
        <v>https://www.diodes.com/datasheet/download/DMP4026LSSQ.pdf</v>
      </c>
      <c r="C1218" t="str">
        <f>Hyperlink("https://www.diodes.com/part/view/DMP4026LSSQ","DMP4026LSSQ")</f>
        <v>DMP4026LSSQ</v>
      </c>
      <c r="D1218" t="s">
        <v>2035</v>
      </c>
      <c r="E1218" t="s">
        <v>27</v>
      </c>
      <c r="F1218" t="s">
        <v>37</v>
      </c>
      <c r="G1218" t="s">
        <v>75</v>
      </c>
      <c r="H1218" t="s">
        <v>30</v>
      </c>
      <c r="I1218">
        <v>40</v>
      </c>
      <c r="J1218">
        <v>20</v>
      </c>
      <c r="K1218">
        <v>7.2</v>
      </c>
      <c r="M1218">
        <v>2</v>
      </c>
      <c r="O1218">
        <v>25</v>
      </c>
      <c r="P1218">
        <v>45</v>
      </c>
      <c r="S1218">
        <v>0.8</v>
      </c>
      <c r="T1218">
        <v>1.8</v>
      </c>
      <c r="U1218">
        <v>23.5</v>
      </c>
      <c r="V1218">
        <v>45</v>
      </c>
      <c r="W1218">
        <v>2083</v>
      </c>
      <c r="X1218">
        <v>20</v>
      </c>
      <c r="Y1218" t="s">
        <v>213</v>
      </c>
    </row>
    <row r="1219" spans="1:25">
      <c r="A1219" t="s">
        <v>2080</v>
      </c>
      <c r="B1219" s="2" t="str">
        <f>Hyperlink("https://www.diodes.com/datasheet/download/DMP4026SFG.pdf")</f>
        <v>https://www.diodes.com/datasheet/download/DMP4026SFG.pdf</v>
      </c>
      <c r="C1219" t="str">
        <f>Hyperlink("https://www.diodes.com/part/view/DMP4026SFG","DMP4026SFG")</f>
        <v>DMP4026SFG</v>
      </c>
      <c r="D1219" t="s">
        <v>2035</v>
      </c>
      <c r="E1219" t="s">
        <v>27</v>
      </c>
      <c r="F1219" t="s">
        <v>28</v>
      </c>
      <c r="G1219" t="s">
        <v>75</v>
      </c>
      <c r="H1219" t="s">
        <v>30</v>
      </c>
      <c r="I1219">
        <v>40</v>
      </c>
      <c r="J1219">
        <v>20</v>
      </c>
      <c r="L1219">
        <v>28</v>
      </c>
      <c r="N1219">
        <v>33</v>
      </c>
      <c r="O1219">
        <v>25</v>
      </c>
      <c r="P1219">
        <v>45</v>
      </c>
      <c r="S1219">
        <v>0.8</v>
      </c>
      <c r="T1219">
        <v>1.8</v>
      </c>
      <c r="U1219">
        <v>25</v>
      </c>
      <c r="V1219">
        <v>48</v>
      </c>
      <c r="W1219">
        <v>2275</v>
      </c>
      <c r="X1219">
        <v>20</v>
      </c>
      <c r="Y1219" t="s">
        <v>718</v>
      </c>
    </row>
    <row r="1220" spans="1:25">
      <c r="A1220" t="s">
        <v>2081</v>
      </c>
      <c r="B1220" s="2" t="str">
        <f>Hyperlink("https://www.diodes.com/datasheet/download/DMP4026SFGQ.pdf")</f>
        <v>https://www.diodes.com/datasheet/download/DMP4026SFGQ.pdf</v>
      </c>
      <c r="C1220" t="str">
        <f>Hyperlink("https://www.diodes.com/part/view/DMP4026SFGQ","DMP4026SFGQ")</f>
        <v>DMP4026SFGQ</v>
      </c>
      <c r="D1220" t="s">
        <v>2035</v>
      </c>
      <c r="E1220" t="s">
        <v>27</v>
      </c>
      <c r="F1220" t="s">
        <v>37</v>
      </c>
      <c r="G1220" t="s">
        <v>75</v>
      </c>
      <c r="H1220" t="s">
        <v>30</v>
      </c>
      <c r="I1220">
        <v>40</v>
      </c>
      <c r="J1220">
        <v>20</v>
      </c>
      <c r="L1220">
        <v>28</v>
      </c>
      <c r="N1220">
        <v>33</v>
      </c>
      <c r="O1220">
        <v>25</v>
      </c>
      <c r="P1220">
        <v>45</v>
      </c>
      <c r="S1220">
        <v>0.8</v>
      </c>
      <c r="T1220">
        <v>1.8</v>
      </c>
      <c r="U1220">
        <v>25</v>
      </c>
      <c r="V1220">
        <v>48</v>
      </c>
      <c r="W1220">
        <v>2275</v>
      </c>
      <c r="X1220">
        <v>20</v>
      </c>
      <c r="Y1220" t="s">
        <v>718</v>
      </c>
    </row>
    <row r="1221" spans="1:25">
      <c r="A1221" t="s">
        <v>2082</v>
      </c>
      <c r="B1221" s="2" t="str">
        <f>Hyperlink("https://www.diodes.com/datasheet/download/DMP4026SFVW.pdf")</f>
        <v>https://www.diodes.com/datasheet/download/DMP4026SFVW.pdf</v>
      </c>
      <c r="C1221" t="str">
        <f>Hyperlink("https://www.diodes.com/part/view/DMP4026SFVW","DMP4026SFVW")</f>
        <v>DMP4026SFVW</v>
      </c>
      <c r="D1221" t="s">
        <v>2035</v>
      </c>
      <c r="E1221" t="s">
        <v>30</v>
      </c>
      <c r="F1221" t="s">
        <v>28</v>
      </c>
      <c r="G1221" t="s">
        <v>75</v>
      </c>
      <c r="H1221" t="s">
        <v>30</v>
      </c>
      <c r="I1221">
        <v>40</v>
      </c>
      <c r="J1221">
        <v>20</v>
      </c>
      <c r="K1221">
        <v>8.9</v>
      </c>
      <c r="L1221">
        <v>49</v>
      </c>
      <c r="M1221">
        <v>3.3</v>
      </c>
      <c r="O1221">
        <v>25</v>
      </c>
      <c r="P1221">
        <v>45</v>
      </c>
      <c r="S1221">
        <v>0.8</v>
      </c>
      <c r="T1221">
        <v>1.8</v>
      </c>
      <c r="U1221">
        <v>23.5</v>
      </c>
      <c r="V1221">
        <v>45.8</v>
      </c>
      <c r="W1221">
        <v>2064</v>
      </c>
      <c r="X1221">
        <v>20</v>
      </c>
      <c r="Y1221" t="s">
        <v>1109</v>
      </c>
    </row>
    <row r="1222" spans="1:25">
      <c r="A1222" t="s">
        <v>2083</v>
      </c>
      <c r="B1222" s="2" t="str">
        <f>Hyperlink("https://www.diodes.com/datasheet/download/DMP4026SFVWQ.pdf")</f>
        <v>https://www.diodes.com/datasheet/download/DMP4026SFVWQ.pdf</v>
      </c>
      <c r="C1222" t="str">
        <f>Hyperlink("https://www.diodes.com/part/view/DMP4026SFVWQ","DMP4026SFVWQ")</f>
        <v>DMP4026SFVWQ</v>
      </c>
      <c r="D1222" t="s">
        <v>2035</v>
      </c>
      <c r="E1222" t="s">
        <v>27</v>
      </c>
      <c r="F1222" t="s">
        <v>37</v>
      </c>
      <c r="G1222" t="s">
        <v>75</v>
      </c>
      <c r="H1222" t="s">
        <v>30</v>
      </c>
      <c r="I1222">
        <v>40</v>
      </c>
      <c r="J1222">
        <v>20</v>
      </c>
      <c r="K1222">
        <v>8.9</v>
      </c>
      <c r="L1222">
        <v>49</v>
      </c>
      <c r="M1222">
        <v>3.3</v>
      </c>
      <c r="O1222">
        <v>25</v>
      </c>
      <c r="P1222">
        <v>45</v>
      </c>
      <c r="S1222">
        <v>0.8</v>
      </c>
      <c r="T1222">
        <v>1.8</v>
      </c>
      <c r="U1222">
        <v>23.5</v>
      </c>
      <c r="V1222">
        <v>45.8</v>
      </c>
      <c r="W1222">
        <v>2064</v>
      </c>
      <c r="X1222">
        <v>20</v>
      </c>
      <c r="Y1222" t="s">
        <v>1109</v>
      </c>
    </row>
    <row r="1223" spans="1:25">
      <c r="A1223" t="s">
        <v>2084</v>
      </c>
      <c r="B1223" s="2" t="str">
        <f>Hyperlink("https://www.diodes.com/datasheet/download/DMP4047LFDE.pdf")</f>
        <v>https://www.diodes.com/datasheet/download/DMP4047LFDE.pdf</v>
      </c>
      <c r="C1223" t="str">
        <f>Hyperlink("https://www.diodes.com/part/view/DMP4047LFDE","DMP4047LFDE")</f>
        <v>DMP4047LFDE</v>
      </c>
      <c r="D1223" t="s">
        <v>2031</v>
      </c>
      <c r="E1223" t="s">
        <v>27</v>
      </c>
      <c r="F1223" t="s">
        <v>28</v>
      </c>
      <c r="G1223" t="s">
        <v>75</v>
      </c>
      <c r="H1223" t="s">
        <v>30</v>
      </c>
      <c r="I1223">
        <v>40</v>
      </c>
      <c r="J1223">
        <v>20</v>
      </c>
      <c r="K1223">
        <v>6</v>
      </c>
      <c r="M1223">
        <v>2.1</v>
      </c>
      <c r="O1223">
        <v>33</v>
      </c>
      <c r="P1223">
        <v>50</v>
      </c>
      <c r="T1223">
        <v>2.2</v>
      </c>
      <c r="U1223">
        <v>11.2</v>
      </c>
      <c r="V1223">
        <v>23.2</v>
      </c>
      <c r="W1223">
        <v>1382</v>
      </c>
      <c r="Y1223" t="s">
        <v>778</v>
      </c>
    </row>
    <row r="1224" spans="1:25">
      <c r="A1224" t="s">
        <v>2085</v>
      </c>
      <c r="B1224" s="2" t="str">
        <f>Hyperlink("https://www.diodes.com/datasheet/download/DMP4047LFDEQ.pdf")</f>
        <v>https://www.diodes.com/datasheet/download/DMP4047LFDEQ.pdf</v>
      </c>
      <c r="C1224" t="str">
        <f>Hyperlink("https://www.diodes.com/part/view/DMP4047LFDEQ","DMP4047LFDEQ")</f>
        <v>DMP4047LFDEQ</v>
      </c>
      <c r="D1224" t="s">
        <v>2031</v>
      </c>
      <c r="E1224" t="s">
        <v>27</v>
      </c>
      <c r="F1224" t="s">
        <v>37</v>
      </c>
      <c r="G1224" t="s">
        <v>75</v>
      </c>
      <c r="H1224" t="s">
        <v>30</v>
      </c>
      <c r="I1224">
        <v>40</v>
      </c>
      <c r="J1224">
        <v>20</v>
      </c>
      <c r="K1224">
        <v>6.5</v>
      </c>
      <c r="M1224">
        <v>2.1</v>
      </c>
      <c r="O1224">
        <v>34</v>
      </c>
      <c r="P1224">
        <v>50</v>
      </c>
      <c r="S1224">
        <v>1</v>
      </c>
      <c r="T1224">
        <v>2.2</v>
      </c>
      <c r="U1224">
        <v>12.2</v>
      </c>
      <c r="V1224">
        <v>24.9</v>
      </c>
      <c r="W1224">
        <v>1265</v>
      </c>
      <c r="X1224">
        <v>20</v>
      </c>
      <c r="Y1224" t="s">
        <v>778</v>
      </c>
    </row>
    <row r="1225" spans="1:25">
      <c r="A1225" t="s">
        <v>2086</v>
      </c>
      <c r="B1225" s="2" t="str">
        <f>Hyperlink("https://www.diodes.com/datasheet/download/DMP4047SK3.pdf")</f>
        <v>https://www.diodes.com/datasheet/download/DMP4047SK3.pdf</v>
      </c>
      <c r="C1225" t="str">
        <f>Hyperlink("https://www.diodes.com/part/view/DMP4047SK3","DMP4047SK3")</f>
        <v>DMP4047SK3</v>
      </c>
      <c r="D1225" t="s">
        <v>2031</v>
      </c>
      <c r="E1225" t="s">
        <v>30</v>
      </c>
      <c r="F1225" t="s">
        <v>28</v>
      </c>
      <c r="G1225" t="s">
        <v>75</v>
      </c>
      <c r="H1225" t="s">
        <v>30</v>
      </c>
      <c r="I1225">
        <v>40</v>
      </c>
      <c r="J1225">
        <v>20</v>
      </c>
      <c r="L1225">
        <v>20</v>
      </c>
      <c r="M1225">
        <v>2.7</v>
      </c>
      <c r="O1225">
        <v>45</v>
      </c>
      <c r="P1225">
        <v>55</v>
      </c>
      <c r="T1225">
        <v>3</v>
      </c>
      <c r="U1225">
        <v>11.2</v>
      </c>
      <c r="V1225">
        <v>23.2</v>
      </c>
      <c r="W1225">
        <v>1328</v>
      </c>
      <c r="X1225">
        <v>20</v>
      </c>
      <c r="Y1225" t="s">
        <v>681</v>
      </c>
    </row>
    <row r="1226" spans="1:25">
      <c r="A1226" t="s">
        <v>2087</v>
      </c>
      <c r="B1226" s="2" t="str">
        <f>Hyperlink("https://www.diodes.com/datasheet/download/DMP4047SSD.pdf")</f>
        <v>https://www.diodes.com/datasheet/download/DMP4047SSD.pdf</v>
      </c>
      <c r="C1226" t="str">
        <f>Hyperlink("https://www.diodes.com/part/view/DMP4047SSD","DMP4047SSD")</f>
        <v>DMP4047SSD</v>
      </c>
      <c r="D1226" t="s">
        <v>2088</v>
      </c>
      <c r="E1226" t="s">
        <v>27</v>
      </c>
      <c r="F1226" t="s">
        <v>28</v>
      </c>
      <c r="G1226" t="s">
        <v>124</v>
      </c>
      <c r="H1226" t="s">
        <v>30</v>
      </c>
      <c r="I1226">
        <v>40</v>
      </c>
      <c r="J1226">
        <v>20</v>
      </c>
      <c r="K1226">
        <v>5.1</v>
      </c>
      <c r="M1226">
        <v>1.8</v>
      </c>
      <c r="O1226">
        <v>45</v>
      </c>
      <c r="P1226">
        <v>55</v>
      </c>
      <c r="T1226">
        <v>3</v>
      </c>
      <c r="U1226">
        <v>10.6</v>
      </c>
      <c r="V1226">
        <v>21.5</v>
      </c>
      <c r="W1226">
        <v>1154</v>
      </c>
      <c r="X1226">
        <v>20</v>
      </c>
      <c r="Y1226" t="s">
        <v>213</v>
      </c>
    </row>
    <row r="1227" spans="1:25">
      <c r="A1227" t="s">
        <v>2089</v>
      </c>
      <c r="B1227" s="2" t="str">
        <f>Hyperlink("https://www.diodes.com/datasheet/download/DMP4047SSD.pdf")</f>
        <v>https://www.diodes.com/datasheet/download/DMP4047SSD.pdf</v>
      </c>
      <c r="C1227" t="str">
        <f>Hyperlink("https://www.diodes.com/part/view/DMP4047SSDQ","DMP4047SSDQ")</f>
        <v>DMP4047SSDQ</v>
      </c>
      <c r="D1227" t="s">
        <v>2088</v>
      </c>
      <c r="E1227" t="s">
        <v>27</v>
      </c>
      <c r="F1227" t="s">
        <v>37</v>
      </c>
      <c r="G1227" t="s">
        <v>124</v>
      </c>
      <c r="H1227" t="s">
        <v>30</v>
      </c>
      <c r="I1227">
        <v>40</v>
      </c>
      <c r="J1227">
        <v>20</v>
      </c>
      <c r="K1227">
        <v>5.1</v>
      </c>
      <c r="M1227">
        <v>1.8</v>
      </c>
      <c r="O1227">
        <v>45</v>
      </c>
      <c r="P1227">
        <v>55</v>
      </c>
      <c r="T1227">
        <v>3</v>
      </c>
      <c r="U1227">
        <v>10.6</v>
      </c>
      <c r="V1227">
        <v>21.5</v>
      </c>
      <c r="Y1227" t="s">
        <v>213</v>
      </c>
    </row>
    <row r="1228" spans="1:25">
      <c r="A1228" t="s">
        <v>2090</v>
      </c>
      <c r="B1228" s="2" t="str">
        <f>Hyperlink("https://www.diodes.com/datasheet/download/DMP4050SSD.pdf")</f>
        <v>https://www.diodes.com/datasheet/download/DMP4050SSD.pdf</v>
      </c>
      <c r="C1228" t="str">
        <f>Hyperlink("https://www.diodes.com/part/view/DMP4050SSD","DMP4050SSD")</f>
        <v>DMP4050SSD</v>
      </c>
      <c r="D1228" t="s">
        <v>2088</v>
      </c>
      <c r="E1228" t="s">
        <v>27</v>
      </c>
      <c r="F1228" t="s">
        <v>28</v>
      </c>
      <c r="G1228" t="s">
        <v>124</v>
      </c>
      <c r="H1228" t="s">
        <v>30</v>
      </c>
      <c r="I1228">
        <v>40</v>
      </c>
      <c r="J1228">
        <v>20</v>
      </c>
      <c r="K1228">
        <v>5.2</v>
      </c>
      <c r="M1228">
        <v>2.1</v>
      </c>
      <c r="O1228">
        <v>50</v>
      </c>
      <c r="P1228">
        <v>79</v>
      </c>
      <c r="T1228">
        <v>3</v>
      </c>
      <c r="U1228">
        <v>6.9</v>
      </c>
      <c r="V1228">
        <v>13.9</v>
      </c>
      <c r="W1228">
        <v>674</v>
      </c>
      <c r="Y1228" t="s">
        <v>213</v>
      </c>
    </row>
    <row r="1229" spans="1:25">
      <c r="A1229" t="s">
        <v>2091</v>
      </c>
      <c r="B1229" s="2" t="str">
        <f>Hyperlink("https://www.diodes.com/datasheet/download/DMP4050SSD.pdf")</f>
        <v>https://www.diodes.com/datasheet/download/DMP4050SSD.pdf</v>
      </c>
      <c r="C1229" t="str">
        <f>Hyperlink("https://www.diodes.com/part/view/DMP4050SSDQ","DMP4050SSDQ")</f>
        <v>DMP4050SSDQ</v>
      </c>
      <c r="D1229" t="s">
        <v>2088</v>
      </c>
      <c r="E1229" t="s">
        <v>27</v>
      </c>
      <c r="F1229" t="s">
        <v>37</v>
      </c>
      <c r="G1229" t="s">
        <v>124</v>
      </c>
      <c r="H1229" t="s">
        <v>30</v>
      </c>
      <c r="I1229">
        <v>40</v>
      </c>
      <c r="J1229">
        <v>20</v>
      </c>
      <c r="K1229">
        <v>5.2</v>
      </c>
      <c r="M1229">
        <v>2.1</v>
      </c>
      <c r="O1229">
        <v>50</v>
      </c>
      <c r="P1229">
        <v>79</v>
      </c>
      <c r="T1229">
        <v>3</v>
      </c>
      <c r="V1229">
        <v>13.9</v>
      </c>
      <c r="Y1229" t="s">
        <v>213</v>
      </c>
    </row>
    <row r="1230" spans="1:25">
      <c r="A1230" t="s">
        <v>2092</v>
      </c>
      <c r="B1230" s="2" t="str">
        <f>Hyperlink("https://www.diodes.com/datasheet/download/DMP4050SSS.pdf")</f>
        <v>https://www.diodes.com/datasheet/download/DMP4050SSS.pdf</v>
      </c>
      <c r="C1230" t="str">
        <f>Hyperlink("https://www.diodes.com/part/view/DMP4050SSS","DMP4050SSS")</f>
        <v>DMP4050SSS</v>
      </c>
      <c r="D1230" t="s">
        <v>2031</v>
      </c>
      <c r="E1230" t="s">
        <v>27</v>
      </c>
      <c r="F1230" t="s">
        <v>28</v>
      </c>
      <c r="G1230" t="s">
        <v>75</v>
      </c>
      <c r="H1230" t="s">
        <v>30</v>
      </c>
      <c r="I1230">
        <v>40</v>
      </c>
      <c r="J1230">
        <v>20</v>
      </c>
      <c r="K1230">
        <v>4.4</v>
      </c>
      <c r="M1230">
        <v>1.56</v>
      </c>
      <c r="O1230">
        <v>50</v>
      </c>
      <c r="P1230">
        <v>79</v>
      </c>
      <c r="T1230">
        <v>3</v>
      </c>
      <c r="U1230">
        <v>6.9</v>
      </c>
      <c r="V1230">
        <v>13.9</v>
      </c>
      <c r="W1230">
        <v>674</v>
      </c>
      <c r="Y1230" t="s">
        <v>213</v>
      </c>
    </row>
    <row r="1231" spans="1:25">
      <c r="A1231" t="s">
        <v>2093</v>
      </c>
      <c r="B1231" s="2" t="str">
        <f>Hyperlink("https://www.diodes.com/datasheet/download/DMP4051LK3.pdf")</f>
        <v>https://www.diodes.com/datasheet/download/DMP4051LK3.pdf</v>
      </c>
      <c r="C1231" t="str">
        <f>Hyperlink("https://www.diodes.com/part/view/DMP4051LK3","DMP4051LK3")</f>
        <v>DMP4051LK3</v>
      </c>
      <c r="D1231" t="s">
        <v>74</v>
      </c>
      <c r="E1231" t="s">
        <v>27</v>
      </c>
      <c r="F1231" t="s">
        <v>28</v>
      </c>
      <c r="G1231" t="s">
        <v>75</v>
      </c>
      <c r="H1231" t="s">
        <v>30</v>
      </c>
      <c r="I1231">
        <v>40</v>
      </c>
      <c r="J1231">
        <v>20</v>
      </c>
      <c r="K1231">
        <v>7.2</v>
      </c>
      <c r="M1231">
        <v>4.18</v>
      </c>
      <c r="O1231">
        <v>51</v>
      </c>
      <c r="P1231">
        <v>85</v>
      </c>
      <c r="T1231">
        <v>3</v>
      </c>
      <c r="U1231">
        <v>7</v>
      </c>
      <c r="V1231">
        <v>14</v>
      </c>
      <c r="W1231">
        <v>674</v>
      </c>
      <c r="Y1231" t="s">
        <v>681</v>
      </c>
    </row>
    <row r="1232" spans="1:25">
      <c r="A1232" t="s">
        <v>2094</v>
      </c>
      <c r="B1232" s="2" t="str">
        <f>Hyperlink("https://www.diodes.com/datasheet/download/DMP4065S.pdf")</f>
        <v>https://www.diodes.com/datasheet/download/DMP4065S.pdf</v>
      </c>
      <c r="C1232" t="str">
        <f>Hyperlink("https://www.diodes.com/part/view/DMP4065S","DMP4065S")</f>
        <v>DMP4065S</v>
      </c>
      <c r="D1232" t="s">
        <v>2031</v>
      </c>
      <c r="E1232" t="s">
        <v>27</v>
      </c>
      <c r="F1232" t="s">
        <v>28</v>
      </c>
      <c r="G1232" t="s">
        <v>75</v>
      </c>
      <c r="H1232" t="s">
        <v>30</v>
      </c>
      <c r="I1232">
        <v>40</v>
      </c>
      <c r="J1232">
        <v>20</v>
      </c>
      <c r="K1232">
        <v>3.4</v>
      </c>
      <c r="M1232">
        <v>1.4</v>
      </c>
      <c r="O1232">
        <v>80</v>
      </c>
      <c r="P1232">
        <v>100</v>
      </c>
      <c r="T1232">
        <v>3</v>
      </c>
      <c r="U1232">
        <v>6.1</v>
      </c>
      <c r="V1232">
        <v>12.2</v>
      </c>
      <c r="W1232">
        <v>587</v>
      </c>
      <c r="X1232">
        <v>20</v>
      </c>
      <c r="Y1232" t="s">
        <v>32</v>
      </c>
    </row>
    <row r="1233" spans="1:25">
      <c r="A1233" t="s">
        <v>2095</v>
      </c>
      <c r="B1233" s="2" t="str">
        <f>Hyperlink("https://www.diodes.com/datasheet/download/DMP4065SK3.pdf")</f>
        <v>https://www.diodes.com/datasheet/download/DMP4065SK3.pdf</v>
      </c>
      <c r="C1233" t="str">
        <f>Hyperlink("https://www.diodes.com/part/view/DMP4065SK3","DMP4065SK3")</f>
        <v>DMP4065SK3</v>
      </c>
      <c r="D1233" t="s">
        <v>74</v>
      </c>
      <c r="E1233" t="s">
        <v>30</v>
      </c>
      <c r="F1233" t="s">
        <v>28</v>
      </c>
      <c r="G1233" t="s">
        <v>75</v>
      </c>
      <c r="H1233" t="s">
        <v>30</v>
      </c>
      <c r="I1233">
        <v>40</v>
      </c>
      <c r="J1233">
        <v>20</v>
      </c>
      <c r="L1233">
        <v>15</v>
      </c>
      <c r="M1233">
        <v>3</v>
      </c>
      <c r="O1233">
        <v>70</v>
      </c>
      <c r="P1233">
        <v>104</v>
      </c>
      <c r="S1233">
        <v>1</v>
      </c>
      <c r="T1233">
        <v>3</v>
      </c>
      <c r="U1233">
        <v>6.1</v>
      </c>
      <c r="V1233">
        <v>12.2</v>
      </c>
      <c r="W1233">
        <v>650</v>
      </c>
      <c r="X1233">
        <v>20</v>
      </c>
      <c r="Y1233" t="s">
        <v>2096</v>
      </c>
    </row>
    <row r="1234" spans="1:25">
      <c r="A1234" t="s">
        <v>2097</v>
      </c>
      <c r="B1234" s="2" t="str">
        <f>Hyperlink("https://www.diodes.com/datasheet/download/DMP4065SQ.pdf")</f>
        <v>https://www.diodes.com/datasheet/download/DMP4065SQ.pdf</v>
      </c>
      <c r="C1234" t="str">
        <f>Hyperlink("https://www.diodes.com/part/view/DMP4065SQ","DMP4065SQ")</f>
        <v>DMP4065SQ</v>
      </c>
      <c r="D1234" t="s">
        <v>2031</v>
      </c>
      <c r="E1234" t="s">
        <v>27</v>
      </c>
      <c r="F1234" t="s">
        <v>37</v>
      </c>
      <c r="G1234" t="s">
        <v>75</v>
      </c>
      <c r="H1234" t="s">
        <v>30</v>
      </c>
      <c r="I1234">
        <v>40</v>
      </c>
      <c r="J1234">
        <v>20</v>
      </c>
      <c r="K1234">
        <v>3.4</v>
      </c>
      <c r="M1234">
        <v>1.4</v>
      </c>
      <c r="O1234">
        <v>80</v>
      </c>
      <c r="P1234">
        <v>100</v>
      </c>
      <c r="T1234">
        <v>3</v>
      </c>
      <c r="U1234">
        <v>6.1</v>
      </c>
      <c r="V1234">
        <v>12.2</v>
      </c>
      <c r="X1234">
        <v>20</v>
      </c>
      <c r="Y1234" t="s">
        <v>35</v>
      </c>
    </row>
    <row r="1235" spans="1:25">
      <c r="A1235" t="s">
        <v>2098</v>
      </c>
      <c r="B1235" s="2" t="str">
        <f>Hyperlink("https://www.diodes.com/datasheet/download/DMP45H150DHE.pdf")</f>
        <v>https://www.diodes.com/datasheet/download/DMP45H150DHE.pdf</v>
      </c>
      <c r="C1235" t="str">
        <f>Hyperlink("https://www.diodes.com/part/view/DMP45H150DHE","DMP45H150DHE")</f>
        <v>DMP45H150DHE</v>
      </c>
      <c r="D1235" t="s">
        <v>2099</v>
      </c>
      <c r="E1235" t="s">
        <v>30</v>
      </c>
      <c r="F1235" t="s">
        <v>28</v>
      </c>
      <c r="G1235" t="s">
        <v>75</v>
      </c>
      <c r="H1235" t="s">
        <v>30</v>
      </c>
      <c r="I1235">
        <v>450</v>
      </c>
      <c r="J1235">
        <v>30</v>
      </c>
      <c r="L1235">
        <v>0.25</v>
      </c>
      <c r="N1235">
        <v>13.9</v>
      </c>
      <c r="O1235">
        <v>150000</v>
      </c>
      <c r="T1235">
        <v>4</v>
      </c>
      <c r="V1235">
        <v>1.8</v>
      </c>
      <c r="W1235">
        <v>59.2</v>
      </c>
      <c r="X1235">
        <v>25</v>
      </c>
      <c r="Y1235" t="s">
        <v>820</v>
      </c>
    </row>
    <row r="1236" spans="1:25">
      <c r="A1236" t="s">
        <v>2100</v>
      </c>
      <c r="B1236" s="2" t="str">
        <f>Hyperlink("https://www.diodes.com/datasheet/download/DMP45H21DHE.pdf")</f>
        <v>https://www.diodes.com/datasheet/download/DMP45H21DHE.pdf</v>
      </c>
      <c r="C1236" t="str">
        <f>Hyperlink("https://www.diodes.com/part/view/DMP45H21DHE","DMP45H21DHE")</f>
        <v>DMP45H21DHE</v>
      </c>
      <c r="D1236" t="s">
        <v>2099</v>
      </c>
      <c r="E1236" t="s">
        <v>30</v>
      </c>
      <c r="F1236" t="s">
        <v>28</v>
      </c>
      <c r="G1236" t="s">
        <v>75</v>
      </c>
      <c r="H1236" t="s">
        <v>30</v>
      </c>
      <c r="I1236">
        <v>450</v>
      </c>
      <c r="J1236">
        <v>30</v>
      </c>
      <c r="L1236">
        <v>0.6</v>
      </c>
      <c r="N1236">
        <v>12.5</v>
      </c>
      <c r="O1236">
        <v>21000</v>
      </c>
      <c r="T1236">
        <v>5</v>
      </c>
      <c r="V1236">
        <v>4.2</v>
      </c>
      <c r="W1236">
        <v>1003</v>
      </c>
      <c r="X1236">
        <v>25</v>
      </c>
      <c r="Y1236" t="s">
        <v>820</v>
      </c>
    </row>
    <row r="1237" spans="1:25">
      <c r="A1237" t="s">
        <v>2101</v>
      </c>
      <c r="B1237" s="2" t="str">
        <f>Hyperlink("https://www.diodes.com/datasheet/download/DMP45H4D9HJ3.pdf")</f>
        <v>https://www.diodes.com/datasheet/download/DMP45H4D9HJ3.pdf</v>
      </c>
      <c r="C1237" t="str">
        <f>Hyperlink("https://www.diodes.com/part/view/DMP45H4D9HJ3","DMP45H4D9HJ3")</f>
        <v>DMP45H4D9HJ3</v>
      </c>
      <c r="D1237" t="s">
        <v>2099</v>
      </c>
      <c r="E1237" t="s">
        <v>30</v>
      </c>
      <c r="F1237" t="s">
        <v>28</v>
      </c>
      <c r="G1237" t="s">
        <v>75</v>
      </c>
      <c r="H1237" t="s">
        <v>30</v>
      </c>
      <c r="I1237">
        <v>450</v>
      </c>
      <c r="J1237">
        <v>30</v>
      </c>
      <c r="L1237">
        <v>4.6</v>
      </c>
      <c r="N1237">
        <v>104</v>
      </c>
      <c r="O1237">
        <v>4900</v>
      </c>
      <c r="T1237">
        <v>5</v>
      </c>
      <c r="V1237">
        <v>13.7</v>
      </c>
      <c r="W1237">
        <v>547</v>
      </c>
      <c r="X1237">
        <v>25</v>
      </c>
      <c r="Y1237" t="s">
        <v>2102</v>
      </c>
    </row>
    <row r="1238" spans="1:25">
      <c r="A1238" t="s">
        <v>2103</v>
      </c>
      <c r="B1238" s="2" t="str">
        <f>Hyperlink("https://www.diodes.com/datasheet/download/DMP45H4D9HK3.pdf")</f>
        <v>https://www.diodes.com/datasheet/download/DMP45H4D9HK3.pdf</v>
      </c>
      <c r="C1238" t="str">
        <f>Hyperlink("https://www.diodes.com/part/view/DMP45H4D9HK3","DMP45H4D9HK3")</f>
        <v>DMP45H4D9HK3</v>
      </c>
      <c r="D1238" t="s">
        <v>2099</v>
      </c>
      <c r="E1238" t="s">
        <v>30</v>
      </c>
      <c r="F1238" t="s">
        <v>28</v>
      </c>
      <c r="G1238" t="s">
        <v>75</v>
      </c>
      <c r="H1238" t="s">
        <v>30</v>
      </c>
      <c r="I1238">
        <v>450</v>
      </c>
      <c r="J1238">
        <v>30</v>
      </c>
      <c r="L1238">
        <v>4.7</v>
      </c>
      <c r="N1238">
        <v>104</v>
      </c>
      <c r="O1238">
        <v>4900</v>
      </c>
      <c r="T1238">
        <v>5</v>
      </c>
      <c r="V1238">
        <v>13.7</v>
      </c>
      <c r="W1238">
        <v>564</v>
      </c>
      <c r="X1238">
        <v>25</v>
      </c>
      <c r="Y1238" t="s">
        <v>681</v>
      </c>
    </row>
    <row r="1239" spans="1:25">
      <c r="A1239" t="s">
        <v>2104</v>
      </c>
      <c r="B1239" s="2" t="str">
        <f>Hyperlink("https://www.diodes.com/datasheet/download/DMP510DL.pdf")</f>
        <v>https://www.diodes.com/datasheet/download/DMP510DL.pdf</v>
      </c>
      <c r="C1239" t="str">
        <f>Hyperlink("https://www.diodes.com/part/view/DMP510DL","DMP510DL")</f>
        <v>DMP510DL</v>
      </c>
      <c r="D1239" t="s">
        <v>74</v>
      </c>
      <c r="E1239" t="s">
        <v>27</v>
      </c>
      <c r="F1239" t="s">
        <v>28</v>
      </c>
      <c r="G1239" t="s">
        <v>75</v>
      </c>
      <c r="H1239" t="s">
        <v>30</v>
      </c>
      <c r="I1239">
        <v>50</v>
      </c>
      <c r="J1239">
        <v>30</v>
      </c>
      <c r="K1239">
        <v>0.18</v>
      </c>
      <c r="M1239">
        <v>0.5</v>
      </c>
      <c r="P1239" t="s">
        <v>128</v>
      </c>
      <c r="T1239">
        <v>2</v>
      </c>
      <c r="W1239">
        <v>24.6</v>
      </c>
      <c r="X1239">
        <v>24.6</v>
      </c>
      <c r="Y1239" t="s">
        <v>32</v>
      </c>
    </row>
    <row r="1240" spans="1:25">
      <c r="A1240" t="s">
        <v>2105</v>
      </c>
      <c r="B1240" s="2" t="str">
        <f>Hyperlink("https://www.diodes.com/datasheet/download/DMP510DLQ.pdf")</f>
        <v>https://www.diodes.com/datasheet/download/DMP510DLQ.pdf</v>
      </c>
      <c r="C1240" t="str">
        <f>Hyperlink("https://www.diodes.com/part/view/DMP510DLQ","DMP510DLQ")</f>
        <v>DMP510DLQ</v>
      </c>
      <c r="D1240" t="s">
        <v>74</v>
      </c>
      <c r="E1240" t="s">
        <v>27</v>
      </c>
      <c r="F1240" t="s">
        <v>37</v>
      </c>
      <c r="G1240" t="s">
        <v>75</v>
      </c>
      <c r="H1240" t="s">
        <v>30</v>
      </c>
      <c r="I1240">
        <v>50</v>
      </c>
      <c r="J1240">
        <v>30</v>
      </c>
      <c r="K1240">
        <v>0.196</v>
      </c>
      <c r="M1240">
        <v>0.69</v>
      </c>
      <c r="P1240" t="s">
        <v>2106</v>
      </c>
      <c r="T1240">
        <v>2</v>
      </c>
      <c r="U1240" t="s">
        <v>2107</v>
      </c>
      <c r="W1240">
        <v>40</v>
      </c>
      <c r="X1240">
        <v>25</v>
      </c>
      <c r="Y1240" t="s">
        <v>35</v>
      </c>
    </row>
    <row r="1241" spans="1:25">
      <c r="A1241" t="s">
        <v>2108</v>
      </c>
      <c r="B1241" s="2" t="str">
        <f>Hyperlink("https://www.diodes.com/datasheet/download/DMP510DLW.pdf")</f>
        <v>https://www.diodes.com/datasheet/download/DMP510DLW.pdf</v>
      </c>
      <c r="C1241" t="str">
        <f>Hyperlink("https://www.diodes.com/part/view/DMP510DLW","DMP510DLW")</f>
        <v>DMP510DLW</v>
      </c>
      <c r="D1241" t="s">
        <v>2109</v>
      </c>
      <c r="E1241" t="s">
        <v>30</v>
      </c>
      <c r="F1241" t="s">
        <v>28</v>
      </c>
      <c r="G1241" t="s">
        <v>75</v>
      </c>
      <c r="H1241" t="s">
        <v>30</v>
      </c>
      <c r="I1241">
        <v>50</v>
      </c>
      <c r="J1241">
        <v>20</v>
      </c>
      <c r="K1241">
        <v>0.174</v>
      </c>
      <c r="M1241">
        <v>0.47</v>
      </c>
      <c r="P1241" t="s">
        <v>128</v>
      </c>
      <c r="T1241">
        <v>2</v>
      </c>
      <c r="U1241">
        <v>0.28</v>
      </c>
      <c r="V1241">
        <v>0.56</v>
      </c>
      <c r="W1241">
        <v>24.6</v>
      </c>
      <c r="X1241">
        <v>25</v>
      </c>
      <c r="Y1241" t="s">
        <v>92</v>
      </c>
    </row>
    <row r="1242" spans="1:25">
      <c r="A1242" t="s">
        <v>2110</v>
      </c>
      <c r="B1242" s="2" t="str">
        <f>Hyperlink("https://www.diodes.com/datasheet/download/DMP56D0UFB.pdf")</f>
        <v>https://www.diodes.com/datasheet/download/DMP56D0UFB.pdf</v>
      </c>
      <c r="C1242" t="str">
        <f>Hyperlink("https://www.diodes.com/part/view/DMP56D0UFB","DMP56D0UFB")</f>
        <v>DMP56D0UFB</v>
      </c>
      <c r="D1242" t="s">
        <v>74</v>
      </c>
      <c r="E1242" t="s">
        <v>27</v>
      </c>
      <c r="F1242" t="s">
        <v>28</v>
      </c>
      <c r="G1242" t="s">
        <v>75</v>
      </c>
      <c r="H1242" t="s">
        <v>27</v>
      </c>
      <c r="I1242">
        <v>50</v>
      </c>
      <c r="J1242">
        <v>8</v>
      </c>
      <c r="K1242">
        <v>0.2</v>
      </c>
      <c r="M1242">
        <v>0.425</v>
      </c>
      <c r="P1242" t="s">
        <v>2111</v>
      </c>
      <c r="Q1242">
        <v>8000</v>
      </c>
      <c r="T1242">
        <v>1.2</v>
      </c>
      <c r="U1242">
        <v>0.58</v>
      </c>
      <c r="W1242">
        <v>50.54</v>
      </c>
      <c r="Y1242" t="s">
        <v>846</v>
      </c>
    </row>
    <row r="1243" spans="1:25">
      <c r="A1243" t="s">
        <v>2112</v>
      </c>
      <c r="B1243" s="2" t="str">
        <f>Hyperlink("https://www.diodes.com/datasheet/download/DMP56D0UV.pdf")</f>
        <v>https://www.diodes.com/datasheet/download/DMP56D0UV.pdf</v>
      </c>
      <c r="C1243" t="str">
        <f>Hyperlink("https://www.diodes.com/part/view/DMP56D0UV","DMP56D0UV")</f>
        <v>DMP56D0UV</v>
      </c>
      <c r="D1243" t="s">
        <v>123</v>
      </c>
      <c r="E1243" t="s">
        <v>27</v>
      </c>
      <c r="F1243" t="s">
        <v>28</v>
      </c>
      <c r="G1243" t="s">
        <v>124</v>
      </c>
      <c r="H1243" t="s">
        <v>27</v>
      </c>
      <c r="I1243">
        <v>50</v>
      </c>
      <c r="J1243">
        <v>8</v>
      </c>
      <c r="K1243">
        <v>0.16</v>
      </c>
      <c r="M1243">
        <v>0.4</v>
      </c>
      <c r="P1243" t="s">
        <v>2111</v>
      </c>
      <c r="Q1243">
        <v>8000</v>
      </c>
      <c r="T1243">
        <v>1.2</v>
      </c>
      <c r="U1243">
        <v>0.58</v>
      </c>
      <c r="W1243">
        <v>50.54</v>
      </c>
      <c r="X1243">
        <v>25</v>
      </c>
      <c r="Y1243" t="s">
        <v>60</v>
      </c>
    </row>
    <row r="1244" spans="1:25">
      <c r="A1244" t="s">
        <v>2113</v>
      </c>
      <c r="B1244" s="2" t="str">
        <f>Hyperlink("https://www.diodes.com/datasheet/download/DMP58D1LV.pdf")</f>
        <v>https://www.diodes.com/datasheet/download/DMP58D1LV.pdf</v>
      </c>
      <c r="C1244" t="str">
        <f>Hyperlink("https://www.diodes.com/part/view/DMP58D1LV","DMP58D1LV")</f>
        <v>DMP58D1LV</v>
      </c>
      <c r="D1244" t="s">
        <v>1837</v>
      </c>
      <c r="E1244" t="s">
        <v>30</v>
      </c>
      <c r="F1244" t="s">
        <v>28</v>
      </c>
      <c r="G1244" t="s">
        <v>124</v>
      </c>
      <c r="H1244" t="s">
        <v>30</v>
      </c>
      <c r="I1244">
        <v>50</v>
      </c>
      <c r="J1244">
        <v>20</v>
      </c>
      <c r="K1244" t="s">
        <v>2114</v>
      </c>
      <c r="M1244">
        <v>0.78</v>
      </c>
      <c r="P1244" t="s">
        <v>2115</v>
      </c>
      <c r="S1244">
        <v>0.8</v>
      </c>
      <c r="T1244" t="s">
        <v>2116</v>
      </c>
      <c r="U1244" t="s">
        <v>2117</v>
      </c>
      <c r="V1244">
        <v>1.2</v>
      </c>
      <c r="W1244">
        <v>37</v>
      </c>
      <c r="X1244">
        <v>25</v>
      </c>
      <c r="Y1244" t="s">
        <v>60</v>
      </c>
    </row>
    <row r="1245" spans="1:25">
      <c r="A1245" t="s">
        <v>2118</v>
      </c>
      <c r="B1245" s="2" t="str">
        <f>Hyperlink("https://www.diodes.com/datasheet/download/DMP58D1LVQ.pdf")</f>
        <v>https://www.diodes.com/datasheet/download/DMP58D1LVQ.pdf</v>
      </c>
      <c r="C1245" t="str">
        <f>Hyperlink("https://www.diodes.com/part/view/DMP58D1LVQ","DMP58D1LVQ")</f>
        <v>DMP58D1LVQ</v>
      </c>
      <c r="D1245" t="s">
        <v>1837</v>
      </c>
      <c r="E1245" t="s">
        <v>27</v>
      </c>
      <c r="F1245" t="s">
        <v>37</v>
      </c>
      <c r="G1245" t="s">
        <v>124</v>
      </c>
      <c r="H1245" t="s">
        <v>30</v>
      </c>
      <c r="I1245">
        <v>50</v>
      </c>
      <c r="J1245">
        <v>20</v>
      </c>
      <c r="K1245" t="s">
        <v>2119</v>
      </c>
      <c r="M1245">
        <v>0.78</v>
      </c>
      <c r="P1245" t="s">
        <v>2120</v>
      </c>
      <c r="S1245">
        <v>0.8</v>
      </c>
      <c r="T1245">
        <v>2</v>
      </c>
      <c r="U1245" t="s">
        <v>2121</v>
      </c>
      <c r="V1245">
        <v>1.2</v>
      </c>
      <c r="W1245">
        <v>37</v>
      </c>
      <c r="X1245">
        <v>25</v>
      </c>
      <c r="Y1245" t="s">
        <v>60</v>
      </c>
    </row>
    <row r="1246" spans="1:25">
      <c r="A1246" t="s">
        <v>2122</v>
      </c>
      <c r="B1246" s="2" t="str">
        <f>Hyperlink("https://www.diodes.com/datasheet/download/DMP6018LPS.pdf")</f>
        <v>https://www.diodes.com/datasheet/download/DMP6018LPS.pdf</v>
      </c>
      <c r="C1246" t="str">
        <f>Hyperlink("https://www.diodes.com/part/view/DMP6018LPS","DMP6018LPS")</f>
        <v>DMP6018LPS</v>
      </c>
      <c r="D1246" t="s">
        <v>2123</v>
      </c>
      <c r="E1246" t="s">
        <v>30</v>
      </c>
      <c r="F1246" t="s">
        <v>28</v>
      </c>
      <c r="G1246" t="s">
        <v>75</v>
      </c>
      <c r="H1246" t="s">
        <v>30</v>
      </c>
      <c r="I1246">
        <v>60</v>
      </c>
      <c r="J1246">
        <v>20</v>
      </c>
      <c r="L1246">
        <v>60</v>
      </c>
      <c r="M1246">
        <v>2.6</v>
      </c>
      <c r="O1246">
        <v>18</v>
      </c>
      <c r="P1246">
        <v>26</v>
      </c>
      <c r="T1246">
        <v>2.5</v>
      </c>
      <c r="U1246">
        <v>7.1</v>
      </c>
      <c r="V1246">
        <v>13.7</v>
      </c>
      <c r="W1246">
        <v>3505</v>
      </c>
      <c r="X1246">
        <v>30</v>
      </c>
      <c r="Y1246" t="s">
        <v>907</v>
      </c>
    </row>
    <row r="1247" spans="1:25">
      <c r="A1247" t="s">
        <v>2124</v>
      </c>
      <c r="B1247" s="2" t="str">
        <f>Hyperlink("https://www.diodes.com/datasheet/download/DMP6018LPSQ.pdf")</f>
        <v>https://www.diodes.com/datasheet/download/DMP6018LPSQ.pdf</v>
      </c>
      <c r="C1247" t="str">
        <f>Hyperlink("https://www.diodes.com/part/view/DMP6018LPSQ","DMP6018LPSQ")</f>
        <v>DMP6018LPSQ</v>
      </c>
      <c r="D1247" t="s">
        <v>2123</v>
      </c>
      <c r="E1247" t="s">
        <v>27</v>
      </c>
      <c r="F1247" t="s">
        <v>37</v>
      </c>
      <c r="G1247" t="s">
        <v>75</v>
      </c>
      <c r="H1247" t="s">
        <v>30</v>
      </c>
      <c r="I1247">
        <v>60</v>
      </c>
      <c r="J1247">
        <v>20</v>
      </c>
      <c r="L1247">
        <v>60</v>
      </c>
      <c r="M1247">
        <v>2.6</v>
      </c>
      <c r="N1247">
        <v>113</v>
      </c>
      <c r="O1247">
        <v>18</v>
      </c>
      <c r="P1247">
        <v>26</v>
      </c>
      <c r="T1247">
        <v>2.5</v>
      </c>
      <c r="W1247">
        <v>3505</v>
      </c>
      <c r="X1247">
        <v>30</v>
      </c>
      <c r="Y1247" t="s">
        <v>907</v>
      </c>
    </row>
    <row r="1248" spans="1:25">
      <c r="A1248" t="s">
        <v>2125</v>
      </c>
      <c r="B1248" s="2" t="str">
        <f>Hyperlink("https://www.diodes.com/datasheet/download/DMP6023LE.pdf")</f>
        <v>https://www.diodes.com/datasheet/download/DMP6023LE.pdf</v>
      </c>
      <c r="C1248" t="str">
        <f>Hyperlink("https://www.diodes.com/part/view/DMP6023LE","DMP6023LE")</f>
        <v>DMP6023LE</v>
      </c>
      <c r="D1248" t="s">
        <v>74</v>
      </c>
      <c r="E1248" t="s">
        <v>27</v>
      </c>
      <c r="F1248" t="s">
        <v>28</v>
      </c>
      <c r="G1248" t="s">
        <v>75</v>
      </c>
      <c r="H1248" t="s">
        <v>30</v>
      </c>
      <c r="I1248">
        <v>60</v>
      </c>
      <c r="J1248">
        <v>20</v>
      </c>
      <c r="K1248">
        <v>7</v>
      </c>
      <c r="M1248">
        <v>2</v>
      </c>
      <c r="O1248">
        <v>28</v>
      </c>
      <c r="P1248">
        <v>35</v>
      </c>
      <c r="T1248">
        <v>3</v>
      </c>
      <c r="U1248">
        <v>26.5</v>
      </c>
      <c r="V1248">
        <v>53.1</v>
      </c>
      <c r="W1248">
        <v>2569</v>
      </c>
      <c r="X1248">
        <v>30</v>
      </c>
      <c r="Y1248" t="s">
        <v>820</v>
      </c>
    </row>
    <row r="1249" spans="1:25">
      <c r="A1249" t="s">
        <v>2126</v>
      </c>
      <c r="B1249" s="2" t="str">
        <f>Hyperlink("https://www.diodes.com/datasheet/download/DMP6023LEQ.pdf")</f>
        <v>https://www.diodes.com/datasheet/download/DMP6023LEQ.pdf</v>
      </c>
      <c r="C1249" t="str">
        <f>Hyperlink("https://www.diodes.com/part/view/DMP6023LEQ","DMP6023LEQ")</f>
        <v>DMP6023LEQ</v>
      </c>
      <c r="D1249" t="s">
        <v>2123</v>
      </c>
      <c r="E1249" t="s">
        <v>27</v>
      </c>
      <c r="F1249" t="s">
        <v>37</v>
      </c>
      <c r="G1249" t="s">
        <v>75</v>
      </c>
      <c r="H1249" t="s">
        <v>30</v>
      </c>
      <c r="I1249">
        <v>60</v>
      </c>
      <c r="J1249">
        <v>20</v>
      </c>
      <c r="K1249">
        <v>7</v>
      </c>
      <c r="M1249">
        <v>2</v>
      </c>
      <c r="O1249">
        <v>28</v>
      </c>
      <c r="P1249">
        <v>35</v>
      </c>
      <c r="T1249">
        <v>3</v>
      </c>
      <c r="U1249">
        <v>26.5</v>
      </c>
      <c r="V1249">
        <v>53.1</v>
      </c>
      <c r="X1249">
        <v>30</v>
      </c>
      <c r="Y1249" t="s">
        <v>820</v>
      </c>
    </row>
    <row r="1250" spans="1:25">
      <c r="A1250" t="s">
        <v>2127</v>
      </c>
      <c r="B1250" s="2" t="str">
        <f>Hyperlink("https://www.diodes.com/datasheet/download/DMP6023LFG.pdf")</f>
        <v>https://www.diodes.com/datasheet/download/DMP6023LFG.pdf</v>
      </c>
      <c r="C1250" t="str">
        <f>Hyperlink("https://www.diodes.com/part/view/DMP6023LFG","DMP6023LFG")</f>
        <v>DMP6023LFG</v>
      </c>
      <c r="D1250" t="s">
        <v>2123</v>
      </c>
      <c r="E1250" t="s">
        <v>27</v>
      </c>
      <c r="F1250" t="s">
        <v>28</v>
      </c>
      <c r="G1250" t="s">
        <v>75</v>
      </c>
      <c r="H1250" t="s">
        <v>30</v>
      </c>
      <c r="I1250">
        <v>60</v>
      </c>
      <c r="J1250">
        <v>20</v>
      </c>
      <c r="K1250">
        <v>7.7</v>
      </c>
      <c r="M1250">
        <v>2.1</v>
      </c>
      <c r="O1250">
        <v>25</v>
      </c>
      <c r="P1250">
        <v>33</v>
      </c>
      <c r="T1250">
        <v>3</v>
      </c>
      <c r="U1250">
        <v>26.5</v>
      </c>
      <c r="V1250">
        <v>53.1</v>
      </c>
      <c r="W1250">
        <v>2569</v>
      </c>
      <c r="X1250">
        <v>30</v>
      </c>
      <c r="Y1250" t="s">
        <v>718</v>
      </c>
    </row>
    <row r="1251" spans="1:25">
      <c r="A1251" t="s">
        <v>2128</v>
      </c>
      <c r="B1251" s="2" t="str">
        <f>Hyperlink("https://www.diodes.com/datasheet/download/DMP6023LFGQ.pdf")</f>
        <v>https://www.diodes.com/datasheet/download/DMP6023LFGQ.pdf</v>
      </c>
      <c r="C1251" t="str">
        <f>Hyperlink("https://www.diodes.com/part/view/DMP6023LFGQ","DMP6023LFGQ")</f>
        <v>DMP6023LFGQ</v>
      </c>
      <c r="D1251" t="s">
        <v>2123</v>
      </c>
      <c r="E1251" t="s">
        <v>27</v>
      </c>
      <c r="F1251" t="s">
        <v>37</v>
      </c>
      <c r="G1251" t="s">
        <v>75</v>
      </c>
      <c r="H1251" t="s">
        <v>30</v>
      </c>
      <c r="I1251">
        <v>60</v>
      </c>
      <c r="J1251">
        <v>20</v>
      </c>
      <c r="K1251">
        <v>7.7</v>
      </c>
      <c r="M1251">
        <v>2.1</v>
      </c>
      <c r="O1251">
        <v>25</v>
      </c>
      <c r="P1251">
        <v>33</v>
      </c>
      <c r="T1251">
        <v>3</v>
      </c>
      <c r="U1251">
        <v>26.5</v>
      </c>
      <c r="V1251">
        <v>53.1</v>
      </c>
      <c r="X1251">
        <v>30</v>
      </c>
      <c r="Y1251" t="s">
        <v>718</v>
      </c>
    </row>
    <row r="1252" spans="1:25">
      <c r="A1252" t="s">
        <v>2129</v>
      </c>
      <c r="B1252" s="2" t="str">
        <f>Hyperlink("https://www.diodes.com/datasheet/download/DMP6023LSS.pdf")</f>
        <v>https://www.diodes.com/datasheet/download/DMP6023LSS.pdf</v>
      </c>
      <c r="C1252" t="str">
        <f>Hyperlink("https://www.diodes.com/part/view/DMP6023LSS","DMP6023LSS")</f>
        <v>DMP6023LSS</v>
      </c>
      <c r="D1252" t="s">
        <v>74</v>
      </c>
      <c r="E1252" t="s">
        <v>27</v>
      </c>
      <c r="F1252" t="s">
        <v>28</v>
      </c>
      <c r="G1252" t="s">
        <v>75</v>
      </c>
      <c r="H1252" t="s">
        <v>30</v>
      </c>
      <c r="I1252">
        <v>60</v>
      </c>
      <c r="J1252">
        <v>20</v>
      </c>
      <c r="K1252">
        <v>6.6</v>
      </c>
      <c r="M1252">
        <v>1.6</v>
      </c>
      <c r="O1252">
        <v>25</v>
      </c>
      <c r="P1252">
        <v>33</v>
      </c>
      <c r="T1252">
        <v>3</v>
      </c>
      <c r="U1252">
        <v>26.5</v>
      </c>
      <c r="V1252">
        <v>53.1</v>
      </c>
      <c r="W1252">
        <v>2569</v>
      </c>
      <c r="X1252">
        <v>30</v>
      </c>
      <c r="Y1252" t="s">
        <v>213</v>
      </c>
    </row>
    <row r="1253" spans="1:25">
      <c r="A1253" t="s">
        <v>2130</v>
      </c>
      <c r="B1253" s="2" t="str">
        <f>Hyperlink("https://www.diodes.com/datasheet/download/DMP6050SFG.pdf")</f>
        <v>https://www.diodes.com/datasheet/download/DMP6050SFG.pdf</v>
      </c>
      <c r="C1253" t="str">
        <f>Hyperlink("https://www.diodes.com/part/view/DMP6050SFG","DMP6050SFG")</f>
        <v>DMP6050SFG</v>
      </c>
      <c r="D1253" t="s">
        <v>2123</v>
      </c>
      <c r="E1253" t="s">
        <v>30</v>
      </c>
      <c r="F1253" t="s">
        <v>28</v>
      </c>
      <c r="G1253" t="s">
        <v>75</v>
      </c>
      <c r="H1253" t="s">
        <v>30</v>
      </c>
      <c r="I1253">
        <v>60</v>
      </c>
      <c r="J1253">
        <v>20</v>
      </c>
      <c r="K1253">
        <v>4.8</v>
      </c>
      <c r="M1253">
        <v>1.8</v>
      </c>
      <c r="O1253">
        <v>50</v>
      </c>
      <c r="P1253">
        <v>70</v>
      </c>
      <c r="T1253">
        <v>3</v>
      </c>
      <c r="U1253">
        <v>11.9</v>
      </c>
      <c r="V1253">
        <v>24</v>
      </c>
      <c r="W1253">
        <v>1293</v>
      </c>
      <c r="X1253">
        <v>30</v>
      </c>
      <c r="Y1253" t="s">
        <v>718</v>
      </c>
    </row>
    <row r="1254" spans="1:25">
      <c r="A1254" t="s">
        <v>2131</v>
      </c>
      <c r="B1254" s="2" t="str">
        <f>Hyperlink("https://www.diodes.com/datasheet/download/DMP6050SPS.pdf")</f>
        <v>https://www.diodes.com/datasheet/download/DMP6050SPS.pdf</v>
      </c>
      <c r="C1254" t="str">
        <f>Hyperlink("https://www.diodes.com/part/view/DMP6050SPS","DMP6050SPS")</f>
        <v>DMP6050SPS</v>
      </c>
      <c r="D1254" t="s">
        <v>2123</v>
      </c>
      <c r="E1254" t="s">
        <v>30</v>
      </c>
      <c r="F1254" t="s">
        <v>28</v>
      </c>
      <c r="G1254" t="s">
        <v>75</v>
      </c>
      <c r="H1254" t="s">
        <v>30</v>
      </c>
      <c r="I1254">
        <v>60</v>
      </c>
      <c r="J1254">
        <v>20</v>
      </c>
      <c r="K1254">
        <v>5.7</v>
      </c>
      <c r="M1254">
        <v>2.4</v>
      </c>
      <c r="O1254">
        <v>50</v>
      </c>
      <c r="P1254">
        <v>70</v>
      </c>
      <c r="T1254">
        <v>3</v>
      </c>
      <c r="U1254">
        <v>14</v>
      </c>
      <c r="V1254">
        <v>30</v>
      </c>
      <c r="W1254">
        <v>2163</v>
      </c>
      <c r="X1254">
        <v>30</v>
      </c>
      <c r="Y1254" t="s">
        <v>2029</v>
      </c>
    </row>
    <row r="1255" spans="1:25">
      <c r="A1255" t="s">
        <v>2132</v>
      </c>
      <c r="B1255" s="2" t="str">
        <f>Hyperlink("https://www.diodes.com/datasheet/download/DMP6050SPSW.pdf")</f>
        <v>https://www.diodes.com/datasheet/download/DMP6050SPSW.pdf</v>
      </c>
      <c r="C1255" t="str">
        <f>Hyperlink("https://www.diodes.com/part/view/DMP6050SPSW","DMP6050SPSW")</f>
        <v>DMP6050SPSW</v>
      </c>
      <c r="D1255" t="s">
        <v>2133</v>
      </c>
      <c r="E1255" t="s">
        <v>30</v>
      </c>
      <c r="F1255" t="s">
        <v>28</v>
      </c>
      <c r="G1255" t="s">
        <v>75</v>
      </c>
      <c r="H1255" t="s">
        <v>30</v>
      </c>
      <c r="I1255">
        <v>60</v>
      </c>
      <c r="J1255">
        <v>20</v>
      </c>
      <c r="L1255">
        <v>26</v>
      </c>
      <c r="M1255">
        <v>2.4</v>
      </c>
      <c r="O1255">
        <v>50</v>
      </c>
      <c r="P1255">
        <v>70</v>
      </c>
      <c r="S1255">
        <v>1</v>
      </c>
      <c r="T1255">
        <v>3</v>
      </c>
      <c r="U1255">
        <v>14</v>
      </c>
      <c r="V1255">
        <v>30</v>
      </c>
      <c r="W1255">
        <v>2163</v>
      </c>
      <c r="X1255">
        <v>30</v>
      </c>
      <c r="Y1255" t="s">
        <v>1546</v>
      </c>
    </row>
    <row r="1256" spans="1:25">
      <c r="A1256" t="s">
        <v>2134</v>
      </c>
      <c r="B1256" s="2" t="str">
        <f>Hyperlink("https://www.diodes.com/datasheet/download/DMP6050SSD.pdf")</f>
        <v>https://www.diodes.com/datasheet/download/DMP6050SSD.pdf</v>
      </c>
      <c r="C1256" t="str">
        <f>Hyperlink("https://www.diodes.com/part/view/DMP6050SSD","DMP6050SSD")</f>
        <v>DMP6050SSD</v>
      </c>
      <c r="D1256" t="s">
        <v>123</v>
      </c>
      <c r="E1256" t="s">
        <v>27</v>
      </c>
      <c r="F1256" t="s">
        <v>28</v>
      </c>
      <c r="G1256" t="s">
        <v>124</v>
      </c>
      <c r="H1256" t="s">
        <v>30</v>
      </c>
      <c r="I1256">
        <v>60</v>
      </c>
      <c r="J1256">
        <v>20</v>
      </c>
      <c r="K1256">
        <v>4.8</v>
      </c>
      <c r="M1256">
        <v>1.7</v>
      </c>
      <c r="O1256">
        <v>55</v>
      </c>
      <c r="P1256">
        <v>70</v>
      </c>
      <c r="T1256">
        <v>3</v>
      </c>
      <c r="U1256">
        <v>11.9</v>
      </c>
      <c r="V1256">
        <v>24</v>
      </c>
      <c r="W1256">
        <v>1293</v>
      </c>
      <c r="X1256">
        <v>30</v>
      </c>
      <c r="Y1256" t="s">
        <v>213</v>
      </c>
    </row>
    <row r="1257" spans="1:25">
      <c r="A1257" t="s">
        <v>2135</v>
      </c>
      <c r="B1257" s="2" t="str">
        <f>Hyperlink("https://www.diodes.com/datasheet/download/DMP6051SFVW.pdf")</f>
        <v>https://www.diodes.com/datasheet/download/DMP6051SFVW.pdf</v>
      </c>
      <c r="C1257" t="str">
        <f>Hyperlink("https://www.diodes.com/part/view/DMP6051SFVW","DMP6051SFVW")</f>
        <v>DMP6051SFVW</v>
      </c>
      <c r="D1257" t="s">
        <v>2133</v>
      </c>
      <c r="E1257" t="s">
        <v>30</v>
      </c>
      <c r="F1257" t="s">
        <v>28</v>
      </c>
      <c r="G1257" t="s">
        <v>75</v>
      </c>
      <c r="H1257" t="s">
        <v>30</v>
      </c>
      <c r="I1257">
        <v>60</v>
      </c>
      <c r="J1257">
        <v>20</v>
      </c>
      <c r="L1257">
        <v>18.8</v>
      </c>
      <c r="M1257">
        <v>2.7</v>
      </c>
      <c r="N1257">
        <v>43</v>
      </c>
      <c r="O1257">
        <v>60</v>
      </c>
      <c r="P1257">
        <v>80</v>
      </c>
      <c r="S1257">
        <v>1</v>
      </c>
      <c r="T1257">
        <v>3</v>
      </c>
      <c r="U1257">
        <v>17</v>
      </c>
      <c r="V1257">
        <v>36</v>
      </c>
      <c r="W1257">
        <v>2087</v>
      </c>
      <c r="X1257">
        <v>30</v>
      </c>
      <c r="Y1257" t="s">
        <v>1109</v>
      </c>
    </row>
    <row r="1258" spans="1:25">
      <c r="A1258" t="s">
        <v>2136</v>
      </c>
      <c r="B1258" s="2" t="str">
        <f>Hyperlink("https://www.diodes.com/datasheet/download/DMP6051SFVWQ.pdf")</f>
        <v>https://www.diodes.com/datasheet/download/DMP6051SFVWQ.pdf</v>
      </c>
      <c r="C1258" t="str">
        <f>Hyperlink("https://www.diodes.com/part/view/DMP6051SFVWQ","DMP6051SFVWQ")</f>
        <v>DMP6051SFVWQ</v>
      </c>
      <c r="D1258" t="s">
        <v>2133</v>
      </c>
      <c r="E1258" t="s">
        <v>27</v>
      </c>
      <c r="F1258" t="s">
        <v>37</v>
      </c>
      <c r="G1258" t="s">
        <v>75</v>
      </c>
      <c r="H1258" t="s">
        <v>30</v>
      </c>
      <c r="I1258">
        <v>60</v>
      </c>
      <c r="J1258">
        <v>20</v>
      </c>
      <c r="L1258">
        <v>18.8</v>
      </c>
      <c r="M1258">
        <v>2.7</v>
      </c>
      <c r="N1258">
        <v>43</v>
      </c>
      <c r="O1258">
        <v>60</v>
      </c>
      <c r="P1258">
        <v>80</v>
      </c>
      <c r="S1258">
        <v>1</v>
      </c>
      <c r="T1258">
        <v>3</v>
      </c>
      <c r="U1258">
        <v>17</v>
      </c>
      <c r="V1258">
        <v>36</v>
      </c>
      <c r="W1258">
        <v>2087</v>
      </c>
      <c r="X1258">
        <v>30</v>
      </c>
      <c r="Y1258" t="s">
        <v>1109</v>
      </c>
    </row>
    <row r="1259" spans="1:25">
      <c r="A1259" t="s">
        <v>2137</v>
      </c>
      <c r="B1259" s="2" t="str">
        <f>Hyperlink("https://www.diodes.com/datasheet/download/DMP6051SSD.pdf")</f>
        <v>https://www.diodes.com/datasheet/download/DMP6051SSD.pdf</v>
      </c>
      <c r="C1259" t="str">
        <f>Hyperlink("https://www.diodes.com/part/view/DMP6051SSD","DMP6051SSD")</f>
        <v>DMP6051SSD</v>
      </c>
      <c r="D1259" t="s">
        <v>2138</v>
      </c>
      <c r="E1259" t="s">
        <v>27</v>
      </c>
      <c r="F1259" t="s">
        <v>28</v>
      </c>
      <c r="G1259" t="s">
        <v>124</v>
      </c>
      <c r="H1259" t="s">
        <v>30</v>
      </c>
      <c r="I1259">
        <v>60</v>
      </c>
      <c r="J1259">
        <v>20</v>
      </c>
      <c r="K1259">
        <v>4.3</v>
      </c>
      <c r="M1259">
        <v>1.6</v>
      </c>
      <c r="O1259">
        <v>60</v>
      </c>
      <c r="P1259">
        <v>80</v>
      </c>
      <c r="S1259">
        <v>1</v>
      </c>
      <c r="T1259">
        <v>3</v>
      </c>
      <c r="U1259">
        <v>17</v>
      </c>
      <c r="V1259">
        <v>36</v>
      </c>
      <c r="W1259">
        <v>2079</v>
      </c>
      <c r="X1259">
        <v>30</v>
      </c>
      <c r="Y1259" t="s">
        <v>213</v>
      </c>
    </row>
    <row r="1260" spans="1:25">
      <c r="A1260" t="s">
        <v>2139</v>
      </c>
      <c r="B1260" s="2" t="str">
        <f>Hyperlink("https://www.diodes.com/datasheet/download/DMP6051SSDQ.pdf")</f>
        <v>https://www.diodes.com/datasheet/download/DMP6051SSDQ.pdf</v>
      </c>
      <c r="C1260" t="str">
        <f>Hyperlink("https://www.diodes.com/part/view/DMP6051SSDQ","DMP6051SSDQ")</f>
        <v>DMP6051SSDQ</v>
      </c>
      <c r="D1260" t="s">
        <v>2140</v>
      </c>
      <c r="E1260" t="s">
        <v>27</v>
      </c>
      <c r="F1260" t="s">
        <v>37</v>
      </c>
      <c r="G1260" t="s">
        <v>124</v>
      </c>
      <c r="H1260" t="s">
        <v>30</v>
      </c>
      <c r="I1260">
        <v>60</v>
      </c>
      <c r="J1260">
        <v>20</v>
      </c>
      <c r="K1260">
        <v>4.3</v>
      </c>
      <c r="M1260">
        <v>1.6</v>
      </c>
      <c r="O1260">
        <v>60</v>
      </c>
      <c r="P1260">
        <v>80</v>
      </c>
      <c r="S1260">
        <v>1</v>
      </c>
      <c r="T1260">
        <v>3</v>
      </c>
      <c r="U1260">
        <v>17</v>
      </c>
      <c r="V1260">
        <v>36</v>
      </c>
      <c r="W1260">
        <v>2079</v>
      </c>
      <c r="X1260">
        <v>30</v>
      </c>
      <c r="Y1260" t="s">
        <v>213</v>
      </c>
    </row>
    <row r="1261" spans="1:25">
      <c r="A1261" t="s">
        <v>2141</v>
      </c>
      <c r="B1261" s="2" t="str">
        <f>Hyperlink("https://www.diodes.com/datasheet/download/DMP6051SSS.pdf")</f>
        <v>https://www.diodes.com/datasheet/download/DMP6051SSS.pdf</v>
      </c>
      <c r="C1261" t="str">
        <f>Hyperlink("https://www.diodes.com/part/view/DMP6051SSS","DMP6051SSS")</f>
        <v>DMP6051SSS</v>
      </c>
      <c r="D1261" t="s">
        <v>1645</v>
      </c>
      <c r="E1261" t="s">
        <v>27</v>
      </c>
      <c r="F1261" t="s">
        <v>28</v>
      </c>
      <c r="G1261" t="s">
        <v>75</v>
      </c>
      <c r="H1261" t="s">
        <v>30</v>
      </c>
      <c r="I1261">
        <v>60</v>
      </c>
      <c r="J1261">
        <v>20</v>
      </c>
      <c r="K1261">
        <v>4.3</v>
      </c>
      <c r="M1261">
        <v>2</v>
      </c>
      <c r="O1261">
        <v>60</v>
      </c>
      <c r="P1261">
        <v>80</v>
      </c>
      <c r="S1261">
        <v>1</v>
      </c>
      <c r="T1261">
        <v>3</v>
      </c>
      <c r="U1261">
        <v>17</v>
      </c>
      <c r="V1261">
        <v>36</v>
      </c>
      <c r="W1261">
        <v>2079</v>
      </c>
      <c r="X1261">
        <v>30</v>
      </c>
      <c r="Y1261" t="s">
        <v>213</v>
      </c>
    </row>
    <row r="1262" spans="1:25">
      <c r="A1262" t="s">
        <v>2142</v>
      </c>
      <c r="B1262" s="2" t="str">
        <f>Hyperlink("https://www.diodes.com/datasheet/download/DMP6051SSSQ.pdf")</f>
        <v>https://www.diodes.com/datasheet/download/DMP6051SSSQ.pdf</v>
      </c>
      <c r="C1262" t="str">
        <f>Hyperlink("https://www.diodes.com/part/view/DMP6051SSSQ","DMP6051SSSQ")</f>
        <v>DMP6051SSSQ</v>
      </c>
      <c r="D1262" t="s">
        <v>1645</v>
      </c>
      <c r="E1262" t="s">
        <v>27</v>
      </c>
      <c r="F1262" t="s">
        <v>37</v>
      </c>
      <c r="G1262" t="s">
        <v>75</v>
      </c>
      <c r="H1262" t="s">
        <v>30</v>
      </c>
      <c r="I1262">
        <v>60</v>
      </c>
      <c r="J1262">
        <v>20</v>
      </c>
      <c r="K1262">
        <v>4.3</v>
      </c>
      <c r="M1262">
        <v>2</v>
      </c>
      <c r="O1262">
        <v>60</v>
      </c>
      <c r="P1262">
        <v>80</v>
      </c>
      <c r="S1262">
        <v>1</v>
      </c>
      <c r="T1262">
        <v>3</v>
      </c>
      <c r="U1262">
        <v>17</v>
      </c>
      <c r="V1262">
        <v>36</v>
      </c>
      <c r="W1262">
        <v>2079</v>
      </c>
      <c r="X1262">
        <v>30</v>
      </c>
      <c r="Y1262" t="s">
        <v>213</v>
      </c>
    </row>
    <row r="1263" spans="1:25">
      <c r="A1263" t="s">
        <v>2143</v>
      </c>
      <c r="B1263" s="2" t="str">
        <f>Hyperlink("https://www.diodes.com/datasheet/download/DMP610DL.pdf")</f>
        <v>https://www.diodes.com/datasheet/download/DMP610DL.pdf</v>
      </c>
      <c r="C1263" t="str">
        <f>Hyperlink("https://www.diodes.com/part/view/DMP610DL","DMP610DL")</f>
        <v>DMP610DL</v>
      </c>
      <c r="D1263" t="s">
        <v>74</v>
      </c>
      <c r="E1263" t="s">
        <v>30</v>
      </c>
      <c r="F1263" t="s">
        <v>28</v>
      </c>
      <c r="G1263" t="s">
        <v>75</v>
      </c>
      <c r="H1263" t="s">
        <v>30</v>
      </c>
      <c r="I1263">
        <v>60</v>
      </c>
      <c r="J1263">
        <v>30</v>
      </c>
      <c r="K1263">
        <v>0.18</v>
      </c>
      <c r="M1263">
        <v>0.5</v>
      </c>
      <c r="P1263" t="s">
        <v>128</v>
      </c>
      <c r="T1263">
        <v>2</v>
      </c>
      <c r="U1263">
        <v>0.28</v>
      </c>
      <c r="V1263">
        <v>0.56</v>
      </c>
      <c r="W1263">
        <v>24.6</v>
      </c>
      <c r="X1263">
        <v>24.6</v>
      </c>
      <c r="Y1263" t="s">
        <v>35</v>
      </c>
    </row>
    <row r="1264" spans="1:25">
      <c r="A1264" t="s">
        <v>2144</v>
      </c>
      <c r="B1264" s="2" t="str">
        <f>Hyperlink("https://www.diodes.com/datasheet/download/DMP610DLQ.pdf")</f>
        <v>https://www.diodes.com/datasheet/download/DMP610DLQ.pdf</v>
      </c>
      <c r="C1264" t="str">
        <f>Hyperlink("https://www.diodes.com/part/view/DMP610DLQ","DMP610DLQ")</f>
        <v>DMP610DLQ</v>
      </c>
      <c r="D1264" t="s">
        <v>74</v>
      </c>
      <c r="E1264" t="s">
        <v>27</v>
      </c>
      <c r="F1264" t="s">
        <v>37</v>
      </c>
      <c r="G1264" t="s">
        <v>75</v>
      </c>
      <c r="H1264" t="s">
        <v>30</v>
      </c>
      <c r="I1264">
        <v>60</v>
      </c>
      <c r="J1264">
        <v>30</v>
      </c>
      <c r="K1264">
        <v>0.186</v>
      </c>
      <c r="M1264">
        <v>0.69</v>
      </c>
      <c r="P1264" t="s">
        <v>2145</v>
      </c>
      <c r="T1264">
        <v>2</v>
      </c>
      <c r="U1264" t="s">
        <v>2107</v>
      </c>
      <c r="W1264">
        <v>40</v>
      </c>
      <c r="X1264">
        <v>25</v>
      </c>
      <c r="Y1264" t="s">
        <v>35</v>
      </c>
    </row>
    <row r="1265" spans="1:25">
      <c r="A1265" t="s">
        <v>2146</v>
      </c>
      <c r="B1265" s="2" t="str">
        <f>Hyperlink("https://www.diodes.com/datasheet/download/DMP6110SFDF.pdf")</f>
        <v>https://www.diodes.com/datasheet/download/DMP6110SFDF.pdf</v>
      </c>
      <c r="C1265" t="str">
        <f>Hyperlink("https://www.diodes.com/part/view/DMP6110SFDF","DMP6110SFDF")</f>
        <v>DMP6110SFDF</v>
      </c>
      <c r="D1265" t="s">
        <v>2147</v>
      </c>
      <c r="E1265" t="s">
        <v>27</v>
      </c>
      <c r="F1265" t="s">
        <v>28</v>
      </c>
      <c r="G1265" t="s">
        <v>75</v>
      </c>
      <c r="H1265" t="s">
        <v>30</v>
      </c>
      <c r="I1265">
        <v>60</v>
      </c>
      <c r="J1265">
        <v>20</v>
      </c>
      <c r="K1265">
        <v>3.5</v>
      </c>
      <c r="M1265">
        <v>1.97</v>
      </c>
      <c r="O1265">
        <v>110</v>
      </c>
      <c r="P1265">
        <v>130</v>
      </c>
      <c r="T1265">
        <v>3</v>
      </c>
      <c r="U1265">
        <v>8.2</v>
      </c>
      <c r="V1265">
        <v>17.2</v>
      </c>
      <c r="W1265">
        <v>969</v>
      </c>
      <c r="X1265">
        <v>30</v>
      </c>
      <c r="Y1265" t="s">
        <v>780</v>
      </c>
    </row>
    <row r="1266" spans="1:25">
      <c r="A1266" t="s">
        <v>2148</v>
      </c>
      <c r="B1266" s="2" t="str">
        <f>Hyperlink("https://www.diodes.com/datasheet/download/DMP6110SFDFQ.pdf")</f>
        <v>https://www.diodes.com/datasheet/download/DMP6110SFDFQ.pdf</v>
      </c>
      <c r="C1266" t="str">
        <f>Hyperlink("https://www.diodes.com/part/view/DMP6110SFDFQ","DMP6110SFDFQ")</f>
        <v>DMP6110SFDFQ</v>
      </c>
      <c r="D1266" t="s">
        <v>74</v>
      </c>
      <c r="E1266" t="s">
        <v>27</v>
      </c>
      <c r="F1266" t="s">
        <v>37</v>
      </c>
      <c r="G1266" t="s">
        <v>75</v>
      </c>
      <c r="H1266" t="s">
        <v>30</v>
      </c>
      <c r="I1266">
        <v>60</v>
      </c>
      <c r="J1266">
        <v>20</v>
      </c>
      <c r="K1266">
        <v>3.5</v>
      </c>
      <c r="M1266">
        <v>1.97</v>
      </c>
      <c r="O1266">
        <v>110</v>
      </c>
      <c r="P1266">
        <v>130</v>
      </c>
      <c r="T1266">
        <v>3</v>
      </c>
      <c r="U1266">
        <v>8.2</v>
      </c>
      <c r="V1266">
        <v>17.2</v>
      </c>
      <c r="X1266">
        <v>30</v>
      </c>
      <c r="Y1266" t="s">
        <v>780</v>
      </c>
    </row>
    <row r="1267" spans="1:25">
      <c r="A1267" t="s">
        <v>2149</v>
      </c>
      <c r="B1267" s="2" t="str">
        <f>Hyperlink("https://www.diodes.com/datasheet/download/DMP6110SSD.pdf")</f>
        <v>https://www.diodes.com/datasheet/download/DMP6110SSD.pdf</v>
      </c>
      <c r="C1267" t="str">
        <f>Hyperlink("https://www.diodes.com/part/view/DMP6110SSD","DMP6110SSD")</f>
        <v>DMP6110SSD</v>
      </c>
      <c r="D1267" t="s">
        <v>123</v>
      </c>
      <c r="E1267" t="s">
        <v>27</v>
      </c>
      <c r="F1267" t="s">
        <v>28</v>
      </c>
      <c r="G1267" t="s">
        <v>124</v>
      </c>
      <c r="H1267" t="s">
        <v>30</v>
      </c>
      <c r="I1267">
        <v>60</v>
      </c>
      <c r="J1267">
        <v>20</v>
      </c>
      <c r="K1267">
        <v>3.3</v>
      </c>
      <c r="M1267">
        <v>1.7</v>
      </c>
      <c r="O1267">
        <v>105</v>
      </c>
      <c r="P1267">
        <v>130</v>
      </c>
      <c r="T1267">
        <v>3</v>
      </c>
      <c r="U1267">
        <v>8.2</v>
      </c>
      <c r="V1267">
        <v>17.2</v>
      </c>
      <c r="W1267">
        <v>969</v>
      </c>
      <c r="X1267">
        <v>30</v>
      </c>
      <c r="Y1267" t="s">
        <v>213</v>
      </c>
    </row>
    <row r="1268" spans="1:25">
      <c r="A1268" t="s">
        <v>2150</v>
      </c>
      <c r="B1268" s="2" t="str">
        <f>Hyperlink("https://www.diodes.com/datasheet/download/DMP6110SSDQ.pdf")</f>
        <v>https://www.diodes.com/datasheet/download/DMP6110SSDQ.pdf</v>
      </c>
      <c r="C1268" t="str">
        <f>Hyperlink("https://www.diodes.com/part/view/DMP6110SSDQ","DMP6110SSDQ")</f>
        <v>DMP6110SSDQ</v>
      </c>
      <c r="D1268" t="s">
        <v>123</v>
      </c>
      <c r="E1268" t="s">
        <v>27</v>
      </c>
      <c r="F1268" t="s">
        <v>37</v>
      </c>
      <c r="G1268" t="s">
        <v>124</v>
      </c>
      <c r="H1268" t="s">
        <v>30</v>
      </c>
      <c r="I1268">
        <v>60</v>
      </c>
      <c r="J1268">
        <v>20</v>
      </c>
      <c r="K1268">
        <v>3.3</v>
      </c>
      <c r="M1268">
        <v>1.7</v>
      </c>
      <c r="O1268">
        <v>105</v>
      </c>
      <c r="P1268">
        <v>130</v>
      </c>
      <c r="T1268">
        <v>3</v>
      </c>
      <c r="U1268">
        <v>8.2</v>
      </c>
      <c r="V1268">
        <v>17.2</v>
      </c>
      <c r="X1268">
        <v>30</v>
      </c>
      <c r="Y1268" t="s">
        <v>213</v>
      </c>
    </row>
    <row r="1269" spans="1:25">
      <c r="A1269" t="s">
        <v>2151</v>
      </c>
      <c r="B1269" s="2" t="str">
        <f>Hyperlink("https://www.diodes.com/datasheet/download/DMP6110SSS.pdf")</f>
        <v>https://www.diodes.com/datasheet/download/DMP6110SSS.pdf</v>
      </c>
      <c r="C1269" t="str">
        <f>Hyperlink("https://www.diodes.com/part/view/DMP6110SSS","DMP6110SSS")</f>
        <v>DMP6110SSS</v>
      </c>
      <c r="D1269" t="s">
        <v>74</v>
      </c>
      <c r="E1269" t="s">
        <v>27</v>
      </c>
      <c r="F1269" t="s">
        <v>28</v>
      </c>
      <c r="G1269" t="s">
        <v>75</v>
      </c>
      <c r="H1269" t="s">
        <v>30</v>
      </c>
      <c r="I1269">
        <v>60</v>
      </c>
      <c r="J1269">
        <v>20</v>
      </c>
      <c r="K1269">
        <v>4.5</v>
      </c>
      <c r="M1269">
        <v>2</v>
      </c>
      <c r="O1269">
        <v>110</v>
      </c>
      <c r="P1269">
        <v>130</v>
      </c>
      <c r="T1269">
        <v>3</v>
      </c>
      <c r="U1269">
        <v>9.5</v>
      </c>
      <c r="V1269">
        <v>19.4</v>
      </c>
      <c r="W1269">
        <v>1030</v>
      </c>
      <c r="Y1269" t="s">
        <v>213</v>
      </c>
    </row>
    <row r="1270" spans="1:25">
      <c r="A1270" t="s">
        <v>2152</v>
      </c>
      <c r="B1270" s="2" t="str">
        <f>Hyperlink("https://www.diodes.com/datasheet/download/DMP6110SSSQ.pdf")</f>
        <v>https://www.diodes.com/datasheet/download/DMP6110SSSQ.pdf</v>
      </c>
      <c r="C1270" t="str">
        <f>Hyperlink("https://www.diodes.com/part/view/DMP6110SSSQ","DMP6110SSSQ")</f>
        <v>DMP6110SSSQ</v>
      </c>
      <c r="D1270" t="s">
        <v>2123</v>
      </c>
      <c r="E1270" t="s">
        <v>27</v>
      </c>
      <c r="F1270" t="s">
        <v>37</v>
      </c>
      <c r="G1270" t="s">
        <v>75</v>
      </c>
      <c r="H1270" t="s">
        <v>30</v>
      </c>
      <c r="I1270">
        <v>60</v>
      </c>
      <c r="J1270">
        <v>20</v>
      </c>
      <c r="K1270">
        <v>4.5</v>
      </c>
      <c r="M1270">
        <v>2</v>
      </c>
      <c r="O1270">
        <v>110</v>
      </c>
      <c r="P1270">
        <v>130</v>
      </c>
      <c r="T1270">
        <v>3</v>
      </c>
      <c r="U1270">
        <v>9.5</v>
      </c>
      <c r="V1270">
        <v>19.4</v>
      </c>
      <c r="X1270">
        <v>30</v>
      </c>
      <c r="Y1270" t="s">
        <v>213</v>
      </c>
    </row>
    <row r="1271" spans="1:25">
      <c r="A1271" t="s">
        <v>2153</v>
      </c>
      <c r="B1271" s="2" t="str">
        <f>Hyperlink("https://www.diodes.com/datasheet/download/DMP6110SVT.pdf")</f>
        <v>https://www.diodes.com/datasheet/download/DMP6110SVT.pdf</v>
      </c>
      <c r="C1271" t="str">
        <f>Hyperlink("https://www.diodes.com/part/view/DMP6110SVT","DMP6110SVT")</f>
        <v>DMP6110SVT</v>
      </c>
      <c r="D1271" t="s">
        <v>74</v>
      </c>
      <c r="E1271" t="s">
        <v>27</v>
      </c>
      <c r="F1271" t="s">
        <v>28</v>
      </c>
      <c r="G1271" t="s">
        <v>75</v>
      </c>
      <c r="H1271" t="s">
        <v>30</v>
      </c>
      <c r="I1271">
        <v>60</v>
      </c>
      <c r="J1271">
        <v>20</v>
      </c>
      <c r="K1271">
        <v>7.3</v>
      </c>
      <c r="M1271">
        <v>1.8</v>
      </c>
      <c r="O1271">
        <v>105</v>
      </c>
      <c r="P1271">
        <v>130</v>
      </c>
      <c r="T1271">
        <v>3</v>
      </c>
      <c r="U1271">
        <v>8.2</v>
      </c>
      <c r="V1271">
        <v>17.2</v>
      </c>
      <c r="W1271">
        <v>969</v>
      </c>
      <c r="X1271">
        <v>30</v>
      </c>
      <c r="Y1271" t="s">
        <v>183</v>
      </c>
    </row>
    <row r="1272" spans="1:25">
      <c r="A1272" t="s">
        <v>2154</v>
      </c>
      <c r="B1272" s="2" t="str">
        <f>Hyperlink("https://www.diodes.com/datasheet/download/DMP6110SVTQ.pdf")</f>
        <v>https://www.diodes.com/datasheet/download/DMP6110SVTQ.pdf</v>
      </c>
      <c r="C1272" t="str">
        <f>Hyperlink("https://www.diodes.com/part/view/DMP6110SVTQ","DMP6110SVTQ")</f>
        <v>DMP6110SVTQ</v>
      </c>
      <c r="D1272" t="s">
        <v>74</v>
      </c>
      <c r="E1272" t="s">
        <v>27</v>
      </c>
      <c r="F1272" t="s">
        <v>37</v>
      </c>
      <c r="G1272" t="s">
        <v>75</v>
      </c>
      <c r="H1272" t="s">
        <v>30</v>
      </c>
      <c r="I1272">
        <v>60</v>
      </c>
      <c r="J1272">
        <v>20</v>
      </c>
      <c r="K1272">
        <v>7.3</v>
      </c>
      <c r="M1272">
        <v>1.8</v>
      </c>
      <c r="O1272">
        <v>105</v>
      </c>
      <c r="P1272">
        <v>130</v>
      </c>
      <c r="T1272">
        <v>3</v>
      </c>
      <c r="U1272">
        <v>8.2</v>
      </c>
      <c r="V1272">
        <v>17.2</v>
      </c>
      <c r="X1272">
        <v>30</v>
      </c>
      <c r="Y1272" t="s">
        <v>183</v>
      </c>
    </row>
    <row r="1273" spans="1:25">
      <c r="A1273" t="s">
        <v>2155</v>
      </c>
      <c r="B1273" s="2" t="str">
        <f>Hyperlink("https://www.diodes.com/datasheet/download/DMP6111SVT.pdf")</f>
        <v>https://www.diodes.com/datasheet/download/DMP6111SVT.pdf</v>
      </c>
      <c r="C1273" t="str">
        <f>Hyperlink("https://www.diodes.com/part/view/DMP6111SVT","DMP6111SVT")</f>
        <v>DMP6111SVT</v>
      </c>
      <c r="D1273" t="s">
        <v>2133</v>
      </c>
      <c r="E1273" t="s">
        <v>30</v>
      </c>
      <c r="F1273" t="s">
        <v>28</v>
      </c>
      <c r="G1273" t="s">
        <v>75</v>
      </c>
      <c r="H1273" t="s">
        <v>30</v>
      </c>
      <c r="I1273">
        <v>60</v>
      </c>
      <c r="J1273">
        <v>20</v>
      </c>
      <c r="K1273">
        <v>2.7</v>
      </c>
      <c r="M1273">
        <v>1.6</v>
      </c>
      <c r="P1273">
        <v>115</v>
      </c>
      <c r="Q1273">
        <v>145</v>
      </c>
      <c r="S1273">
        <v>1</v>
      </c>
      <c r="T1273">
        <v>3</v>
      </c>
      <c r="U1273">
        <v>11.2</v>
      </c>
      <c r="V1273">
        <v>23.2</v>
      </c>
      <c r="W1273">
        <v>1283</v>
      </c>
      <c r="X1273">
        <v>30</v>
      </c>
      <c r="Y1273" t="s">
        <v>183</v>
      </c>
    </row>
    <row r="1274" spans="1:25">
      <c r="A1274" t="s">
        <v>2156</v>
      </c>
      <c r="B1274" s="2" t="str">
        <f>Hyperlink("https://www.diodes.com/datasheet/download/DMP6111SVTQ.pdf")</f>
        <v>https://www.diodes.com/datasheet/download/DMP6111SVTQ.pdf</v>
      </c>
      <c r="C1274" t="str">
        <f>Hyperlink("https://www.diodes.com/part/view/DMP6111SVTQ","DMP6111SVTQ")</f>
        <v>DMP6111SVTQ</v>
      </c>
      <c r="D1274" t="s">
        <v>2133</v>
      </c>
      <c r="E1274" t="s">
        <v>27</v>
      </c>
      <c r="F1274" t="s">
        <v>37</v>
      </c>
      <c r="G1274" t="s">
        <v>75</v>
      </c>
      <c r="H1274" t="s">
        <v>30</v>
      </c>
      <c r="I1274">
        <v>60</v>
      </c>
      <c r="J1274">
        <v>20</v>
      </c>
      <c r="K1274">
        <v>2.7</v>
      </c>
      <c r="M1274">
        <v>1.6</v>
      </c>
      <c r="P1274">
        <v>115</v>
      </c>
      <c r="Q1274">
        <v>145</v>
      </c>
      <c r="S1274">
        <v>1</v>
      </c>
      <c r="T1274">
        <v>3</v>
      </c>
      <c r="U1274">
        <v>11.2</v>
      </c>
      <c r="V1274">
        <v>23.2</v>
      </c>
      <c r="W1274">
        <v>1283</v>
      </c>
      <c r="X1274">
        <v>30</v>
      </c>
      <c r="Y1274" t="s">
        <v>183</v>
      </c>
    </row>
    <row r="1275" spans="1:25">
      <c r="A1275" t="s">
        <v>2157</v>
      </c>
      <c r="B1275" s="2" t="str">
        <f>Hyperlink("https://www.diodes.com/datasheet/download/DMP6180SK3.pdf")</f>
        <v>https://www.diodes.com/datasheet/download/DMP6180SK3.pdf</v>
      </c>
      <c r="C1275" t="str">
        <f>Hyperlink("https://www.diodes.com/part/view/DMP6180SK3","DMP6180SK3")</f>
        <v>DMP6180SK3</v>
      </c>
      <c r="D1275" t="s">
        <v>74</v>
      </c>
      <c r="E1275" t="s">
        <v>27</v>
      </c>
      <c r="F1275" t="s">
        <v>28</v>
      </c>
      <c r="G1275" t="s">
        <v>75</v>
      </c>
      <c r="H1275" t="s">
        <v>30</v>
      </c>
      <c r="I1275">
        <v>60</v>
      </c>
      <c r="J1275">
        <v>20</v>
      </c>
      <c r="L1275">
        <v>14</v>
      </c>
      <c r="M1275">
        <v>2.7</v>
      </c>
      <c r="O1275">
        <v>110</v>
      </c>
      <c r="P1275">
        <v>140</v>
      </c>
      <c r="T1275">
        <v>2.7</v>
      </c>
      <c r="U1275">
        <v>8.1</v>
      </c>
      <c r="V1275">
        <v>17.1</v>
      </c>
      <c r="W1275">
        <v>984.7</v>
      </c>
      <c r="X1275">
        <v>30</v>
      </c>
      <c r="Y1275" t="s">
        <v>681</v>
      </c>
    </row>
    <row r="1276" spans="1:25">
      <c r="A1276" t="s">
        <v>2158</v>
      </c>
      <c r="B1276" s="2" t="str">
        <f>Hyperlink("https://www.diodes.com/datasheet/download/DMP6180SK3Q.pdf")</f>
        <v>https://www.diodes.com/datasheet/download/DMP6180SK3Q.pdf</v>
      </c>
      <c r="C1276" t="str">
        <f>Hyperlink("https://www.diodes.com/part/view/DMP6180SK3Q","DMP6180SK3Q")</f>
        <v>DMP6180SK3Q</v>
      </c>
      <c r="D1276" t="s">
        <v>74</v>
      </c>
      <c r="E1276" t="s">
        <v>27</v>
      </c>
      <c r="F1276" t="s">
        <v>37</v>
      </c>
      <c r="G1276" t="s">
        <v>75</v>
      </c>
      <c r="H1276" t="s">
        <v>30</v>
      </c>
      <c r="I1276">
        <v>60</v>
      </c>
      <c r="J1276">
        <v>20</v>
      </c>
      <c r="L1276">
        <v>14</v>
      </c>
      <c r="M1276">
        <v>2.7</v>
      </c>
      <c r="O1276">
        <v>110</v>
      </c>
      <c r="P1276">
        <v>140</v>
      </c>
      <c r="T1276">
        <v>2.7</v>
      </c>
      <c r="U1276">
        <v>8.1</v>
      </c>
      <c r="V1276">
        <v>17.1</v>
      </c>
      <c r="W1276">
        <v>984.7</v>
      </c>
      <c r="X1276">
        <v>30</v>
      </c>
      <c r="Y1276" t="s">
        <v>681</v>
      </c>
    </row>
    <row r="1277" spans="1:25">
      <c r="A1277" t="s">
        <v>2159</v>
      </c>
      <c r="B1277" s="2" t="str">
        <f>Hyperlink("https://www.diodes.com/datasheet/download/DMP6185SE.pdf")</f>
        <v>https://www.diodes.com/datasheet/download/DMP6185SE.pdf</v>
      </c>
      <c r="C1277" t="str">
        <f>Hyperlink("https://www.diodes.com/part/view/DMP6185SE","DMP6185SE")</f>
        <v>DMP6185SE</v>
      </c>
      <c r="D1277" t="s">
        <v>74</v>
      </c>
      <c r="E1277" t="s">
        <v>27</v>
      </c>
      <c r="F1277" t="s">
        <v>28</v>
      </c>
      <c r="G1277" t="s">
        <v>75</v>
      </c>
      <c r="H1277" t="s">
        <v>30</v>
      </c>
      <c r="I1277">
        <v>60</v>
      </c>
      <c r="J1277">
        <v>20</v>
      </c>
      <c r="K1277">
        <v>3</v>
      </c>
      <c r="M1277">
        <v>2.2</v>
      </c>
      <c r="O1277">
        <v>150</v>
      </c>
      <c r="P1277">
        <v>185</v>
      </c>
      <c r="T1277">
        <v>3</v>
      </c>
      <c r="U1277">
        <v>6.2</v>
      </c>
      <c r="V1277">
        <v>14</v>
      </c>
      <c r="W1277">
        <v>708</v>
      </c>
      <c r="X1277">
        <v>30</v>
      </c>
      <c r="Y1277" t="s">
        <v>820</v>
      </c>
    </row>
    <row r="1278" spans="1:25">
      <c r="A1278" t="s">
        <v>2160</v>
      </c>
      <c r="B1278" s="2" t="str">
        <f>Hyperlink("https://www.diodes.com/datasheet/download/DMP6185SEQ.pdf")</f>
        <v>https://www.diodes.com/datasheet/download/DMP6185SEQ.pdf</v>
      </c>
      <c r="C1278" t="str">
        <f>Hyperlink("https://www.diodes.com/part/view/DMP6185SEQ","DMP6185SEQ")</f>
        <v>DMP6185SEQ</v>
      </c>
      <c r="D1278" t="s">
        <v>2123</v>
      </c>
      <c r="E1278" t="s">
        <v>27</v>
      </c>
      <c r="F1278" t="s">
        <v>37</v>
      </c>
      <c r="G1278" t="s">
        <v>75</v>
      </c>
      <c r="H1278" t="s">
        <v>30</v>
      </c>
      <c r="I1278">
        <v>60</v>
      </c>
      <c r="J1278">
        <v>20</v>
      </c>
      <c r="K1278">
        <v>3</v>
      </c>
      <c r="M1278">
        <v>2.2</v>
      </c>
      <c r="O1278">
        <v>150</v>
      </c>
      <c r="P1278">
        <v>185</v>
      </c>
      <c r="T1278">
        <v>3</v>
      </c>
      <c r="U1278">
        <v>6.2</v>
      </c>
      <c r="V1278">
        <v>14</v>
      </c>
      <c r="X1278">
        <v>30</v>
      </c>
      <c r="Y1278" t="s">
        <v>820</v>
      </c>
    </row>
    <row r="1279" spans="1:25">
      <c r="A1279" t="s">
        <v>2161</v>
      </c>
      <c r="B1279" s="2" t="str">
        <f>Hyperlink("https://www.diodes.com/datasheet/download/DMP6185SK3.pdf")</f>
        <v>https://www.diodes.com/datasheet/download/DMP6185SK3.pdf</v>
      </c>
      <c r="C1279" t="str">
        <f>Hyperlink("https://www.diodes.com/part/view/DMP6185SK3","DMP6185SK3")</f>
        <v>DMP6185SK3</v>
      </c>
      <c r="D1279" t="s">
        <v>74</v>
      </c>
      <c r="E1279" t="s">
        <v>27</v>
      </c>
      <c r="F1279" t="s">
        <v>28</v>
      </c>
      <c r="G1279" t="s">
        <v>75</v>
      </c>
      <c r="H1279" t="s">
        <v>30</v>
      </c>
      <c r="I1279">
        <v>60</v>
      </c>
      <c r="J1279">
        <v>20</v>
      </c>
      <c r="K1279">
        <v>3.6</v>
      </c>
      <c r="M1279">
        <v>2.8</v>
      </c>
      <c r="O1279">
        <v>150</v>
      </c>
      <c r="P1279">
        <v>185</v>
      </c>
      <c r="T1279">
        <v>3</v>
      </c>
      <c r="U1279">
        <v>6.2</v>
      </c>
      <c r="V1279">
        <v>14</v>
      </c>
      <c r="W1279">
        <v>708</v>
      </c>
      <c r="Y1279" t="s">
        <v>681</v>
      </c>
    </row>
    <row r="1280" spans="1:25">
      <c r="A1280" t="s">
        <v>2162</v>
      </c>
      <c r="B1280" s="2" t="str">
        <f>Hyperlink("https://www.diodes.com/datasheet/download/DMP6250SE.pdf")</f>
        <v>https://www.diodes.com/datasheet/download/DMP6250SE.pdf</v>
      </c>
      <c r="C1280" t="str">
        <f>Hyperlink("https://www.diodes.com/part/view/DMP6250SE","DMP6250SE")</f>
        <v>DMP6250SE</v>
      </c>
      <c r="D1280" t="s">
        <v>74</v>
      </c>
      <c r="E1280" t="s">
        <v>27</v>
      </c>
      <c r="F1280" t="s">
        <v>28</v>
      </c>
      <c r="G1280" t="s">
        <v>75</v>
      </c>
      <c r="H1280" t="s">
        <v>30</v>
      </c>
      <c r="I1280">
        <v>60</v>
      </c>
      <c r="J1280">
        <v>20</v>
      </c>
      <c r="K1280">
        <v>2.1</v>
      </c>
      <c r="M1280">
        <v>1.8</v>
      </c>
      <c r="O1280">
        <v>250</v>
      </c>
      <c r="P1280">
        <v>300</v>
      </c>
      <c r="T1280">
        <v>3</v>
      </c>
      <c r="U1280">
        <v>4.8</v>
      </c>
      <c r="V1280">
        <v>9.7</v>
      </c>
      <c r="W1280">
        <v>551</v>
      </c>
      <c r="X1280">
        <v>30</v>
      </c>
      <c r="Y1280" t="s">
        <v>820</v>
      </c>
    </row>
    <row r="1281" spans="1:25">
      <c r="A1281" t="s">
        <v>2163</v>
      </c>
      <c r="B1281" s="2" t="str">
        <f>Hyperlink("https://www.diodes.com/datasheet/download/DMP6250SEQ.pdf")</f>
        <v>https://www.diodes.com/datasheet/download/DMP6250SEQ.pdf</v>
      </c>
      <c r="C1281" t="str">
        <f>Hyperlink("https://www.diodes.com/part/view/DMP6250SEQ","DMP6250SEQ")</f>
        <v>DMP6250SEQ</v>
      </c>
      <c r="D1281" t="s">
        <v>2123</v>
      </c>
      <c r="E1281" t="s">
        <v>27</v>
      </c>
      <c r="F1281" t="s">
        <v>37</v>
      </c>
      <c r="G1281" t="s">
        <v>75</v>
      </c>
      <c r="H1281" t="s">
        <v>30</v>
      </c>
      <c r="I1281">
        <v>60</v>
      </c>
      <c r="J1281">
        <v>20</v>
      </c>
      <c r="L1281">
        <v>6.1</v>
      </c>
      <c r="M1281">
        <v>1.8</v>
      </c>
      <c r="N1281">
        <v>14</v>
      </c>
      <c r="O1281">
        <v>250</v>
      </c>
      <c r="P1281">
        <v>300</v>
      </c>
      <c r="T1281">
        <v>3</v>
      </c>
      <c r="U1281">
        <v>4.8</v>
      </c>
      <c r="V1281">
        <v>9.7</v>
      </c>
      <c r="W1281">
        <v>551</v>
      </c>
      <c r="X1281">
        <v>30</v>
      </c>
      <c r="Y1281" t="s">
        <v>820</v>
      </c>
    </row>
    <row r="1282" spans="1:25">
      <c r="A1282" t="s">
        <v>2164</v>
      </c>
      <c r="B1282" s="2" t="str">
        <f>Hyperlink("https://www.diodes.com/datasheet/download/DMP6250SFDF.pdf")</f>
        <v>https://www.diodes.com/datasheet/download/DMP6250SFDF.pdf</v>
      </c>
      <c r="C1282" t="str">
        <f>Hyperlink("https://www.diodes.com/part/view/DMP6250SFDF","DMP6250SFDF")</f>
        <v>DMP6250SFDF</v>
      </c>
      <c r="D1282" t="s">
        <v>74</v>
      </c>
      <c r="E1282" t="s">
        <v>27</v>
      </c>
      <c r="F1282" t="s">
        <v>28</v>
      </c>
      <c r="G1282" t="s">
        <v>75</v>
      </c>
      <c r="H1282" t="s">
        <v>30</v>
      </c>
      <c r="I1282">
        <v>60</v>
      </c>
      <c r="J1282">
        <v>20</v>
      </c>
      <c r="K1282">
        <v>3.2</v>
      </c>
      <c r="M1282">
        <v>2</v>
      </c>
      <c r="O1282">
        <v>155</v>
      </c>
      <c r="P1282">
        <v>240</v>
      </c>
      <c r="T1282">
        <v>3</v>
      </c>
      <c r="U1282">
        <v>4.3</v>
      </c>
      <c r="V1282">
        <v>8.9</v>
      </c>
      <c r="W1282" t="s">
        <v>2165</v>
      </c>
      <c r="Y1282" t="s">
        <v>780</v>
      </c>
    </row>
    <row r="1283" spans="1:25">
      <c r="A1283" t="s">
        <v>2166</v>
      </c>
      <c r="B1283" s="2" t="str">
        <f>Hyperlink("https://www.diodes.com/datasheet/download/DMP6350S.pdf")</f>
        <v>https://www.diodes.com/datasheet/download/DMP6350S.pdf</v>
      </c>
      <c r="C1283" t="str">
        <f>Hyperlink("https://www.diodes.com/part/view/DMP6350S","DMP6350S")</f>
        <v>DMP6350S</v>
      </c>
      <c r="D1283" t="s">
        <v>2123</v>
      </c>
      <c r="E1283" t="s">
        <v>27</v>
      </c>
      <c r="F1283" t="s">
        <v>28</v>
      </c>
      <c r="G1283" t="s">
        <v>75</v>
      </c>
      <c r="H1283" t="s">
        <v>30</v>
      </c>
      <c r="I1283">
        <v>60</v>
      </c>
      <c r="J1283">
        <v>20</v>
      </c>
      <c r="K1283">
        <v>1.5</v>
      </c>
      <c r="M1283">
        <v>1.17</v>
      </c>
      <c r="O1283">
        <v>350</v>
      </c>
      <c r="P1283">
        <v>550</v>
      </c>
      <c r="T1283">
        <v>3</v>
      </c>
      <c r="U1283">
        <v>2</v>
      </c>
      <c r="V1283">
        <v>4.1</v>
      </c>
      <c r="W1283">
        <v>206</v>
      </c>
      <c r="X1283">
        <v>30</v>
      </c>
      <c r="Y1283" t="s">
        <v>35</v>
      </c>
    </row>
    <row r="1284" spans="1:25">
      <c r="A1284" t="s">
        <v>2167</v>
      </c>
      <c r="B1284" s="2" t="str">
        <f>Hyperlink("https://www.diodes.com/datasheet/download/DMP6350SQ.pdf")</f>
        <v>https://www.diodes.com/datasheet/download/DMP6350SQ.pdf</v>
      </c>
      <c r="C1284" t="str">
        <f>Hyperlink("https://www.diodes.com/part/view/DMP6350SQ","DMP6350SQ")</f>
        <v>DMP6350SQ</v>
      </c>
      <c r="D1284" t="s">
        <v>2123</v>
      </c>
      <c r="E1284" t="s">
        <v>27</v>
      </c>
      <c r="F1284" t="s">
        <v>37</v>
      </c>
      <c r="G1284" t="s">
        <v>75</v>
      </c>
      <c r="H1284" t="s">
        <v>30</v>
      </c>
      <c r="I1284">
        <v>60</v>
      </c>
      <c r="J1284">
        <v>20</v>
      </c>
      <c r="K1284">
        <v>1.5</v>
      </c>
      <c r="M1284">
        <v>1.17</v>
      </c>
      <c r="O1284">
        <v>350</v>
      </c>
      <c r="P1284">
        <v>550</v>
      </c>
      <c r="T1284">
        <v>3</v>
      </c>
      <c r="U1284">
        <v>2</v>
      </c>
      <c r="V1284">
        <v>4.1</v>
      </c>
      <c r="X1284">
        <v>30</v>
      </c>
      <c r="Y1284" t="s">
        <v>35</v>
      </c>
    </row>
    <row r="1285" spans="1:25">
      <c r="A1285" t="s">
        <v>2168</v>
      </c>
      <c r="B1285" s="2" t="str">
        <f>Hyperlink("https://www.diodes.com/datasheet/download/DMP65H11D0HSS.pdf")</f>
        <v>https://www.diodes.com/datasheet/download/DMP65H11D0HSS.pdf</v>
      </c>
      <c r="C1285" t="str">
        <f>Hyperlink("https://www.diodes.com/part/view/DMP65H11D0HSS","DMP65H11D0HSS")</f>
        <v>DMP65H11D0HSS</v>
      </c>
      <c r="D1285" t="s">
        <v>2169</v>
      </c>
      <c r="E1285" t="s">
        <v>30</v>
      </c>
      <c r="F1285" t="s">
        <v>28</v>
      </c>
      <c r="G1285" t="s">
        <v>75</v>
      </c>
      <c r="H1285" t="s">
        <v>27</v>
      </c>
      <c r="I1285">
        <v>600</v>
      </c>
      <c r="J1285">
        <v>30</v>
      </c>
      <c r="K1285">
        <v>0.27</v>
      </c>
      <c r="M1285">
        <v>1.9</v>
      </c>
      <c r="O1285">
        <v>11000</v>
      </c>
      <c r="T1285">
        <v>4</v>
      </c>
      <c r="V1285">
        <v>13</v>
      </c>
      <c r="Y1285" t="s">
        <v>2170</v>
      </c>
    </row>
    <row r="1286" spans="1:25">
      <c r="A1286" t="s">
        <v>2171</v>
      </c>
      <c r="B1286" s="2" t="str">
        <f>Hyperlink("https://www.diodes.com/datasheet/download/DMP65H13D0HSS.pdf")</f>
        <v>https://www.diodes.com/datasheet/download/DMP65H13D0HSS.pdf</v>
      </c>
      <c r="C1286" t="str">
        <f>Hyperlink("https://www.diodes.com/part/view/DMP65H13D0HSS","DMP65H13D0HSS")</f>
        <v>DMP65H13D0HSS</v>
      </c>
      <c r="D1286" t="s">
        <v>2169</v>
      </c>
      <c r="E1286" t="s">
        <v>30</v>
      </c>
      <c r="F1286" t="s">
        <v>28</v>
      </c>
      <c r="G1286" t="s">
        <v>75</v>
      </c>
      <c r="H1286" t="s">
        <v>30</v>
      </c>
      <c r="I1286">
        <v>600</v>
      </c>
      <c r="J1286">
        <v>30</v>
      </c>
      <c r="K1286">
        <v>0.25</v>
      </c>
      <c r="M1286">
        <v>1.9</v>
      </c>
      <c r="O1286">
        <v>13000</v>
      </c>
      <c r="T1286">
        <v>4</v>
      </c>
      <c r="V1286">
        <v>13.4</v>
      </c>
      <c r="Y1286" t="s">
        <v>2170</v>
      </c>
    </row>
    <row r="1287" spans="1:25">
      <c r="A1287" t="s">
        <v>2172</v>
      </c>
      <c r="B1287" s="2" t="str">
        <f>Hyperlink("https://www.diodes.com/datasheet/download/DMP65H20D0HSS.pdf")</f>
        <v>https://www.diodes.com/datasheet/download/DMP65H20D0HSS.pdf</v>
      </c>
      <c r="C1287" t="str">
        <f>Hyperlink("https://www.diodes.com/part/view/DMP65H20D0HSS","DMP65H20D0HSS")</f>
        <v>DMP65H20D0HSS</v>
      </c>
      <c r="D1287" t="s">
        <v>2169</v>
      </c>
      <c r="E1287" t="s">
        <v>30</v>
      </c>
      <c r="F1287" t="s">
        <v>28</v>
      </c>
      <c r="G1287" t="s">
        <v>75</v>
      </c>
      <c r="H1287" t="s">
        <v>27</v>
      </c>
      <c r="I1287">
        <v>600</v>
      </c>
      <c r="J1287">
        <v>30</v>
      </c>
      <c r="K1287">
        <v>0.2</v>
      </c>
      <c r="M1287">
        <v>1.9</v>
      </c>
      <c r="O1287">
        <v>20000</v>
      </c>
      <c r="T1287">
        <v>4</v>
      </c>
      <c r="V1287">
        <v>9.7</v>
      </c>
      <c r="Y1287" t="s">
        <v>2170</v>
      </c>
    </row>
    <row r="1288" spans="1:25">
      <c r="A1288" t="s">
        <v>2173</v>
      </c>
      <c r="B1288" s="2" t="str">
        <f>Hyperlink("https://www.diodes.com/datasheet/download/DMP65H9D0HSS.pdf")</f>
        <v>https://www.diodes.com/datasheet/download/DMP65H9D0HSS.pdf</v>
      </c>
      <c r="C1288" t="str">
        <f>Hyperlink("https://www.diodes.com/part/view/DMP65H9D0HSS","DMP65H9D0HSS")</f>
        <v>DMP65H9D0HSS</v>
      </c>
      <c r="D1288" t="s">
        <v>2169</v>
      </c>
      <c r="E1288" t="s">
        <v>30</v>
      </c>
      <c r="F1288" t="s">
        <v>28</v>
      </c>
      <c r="G1288" t="s">
        <v>75</v>
      </c>
      <c r="H1288" t="s">
        <v>27</v>
      </c>
      <c r="I1288">
        <v>600</v>
      </c>
      <c r="J1288">
        <v>30</v>
      </c>
      <c r="K1288">
        <v>0.3</v>
      </c>
      <c r="M1288">
        <v>1.9</v>
      </c>
      <c r="O1288">
        <v>9000</v>
      </c>
      <c r="T1288">
        <v>4</v>
      </c>
      <c r="V1288">
        <v>17</v>
      </c>
      <c r="Y1288" t="s">
        <v>2170</v>
      </c>
    </row>
    <row r="1289" spans="1:25">
      <c r="A1289" t="s">
        <v>2174</v>
      </c>
      <c r="B1289" s="2" t="str">
        <f>Hyperlink("https://www.diodes.com/datasheet/download/DMP68D0LFB.pdf")</f>
        <v>https://www.diodes.com/datasheet/download/DMP68D0LFB.pdf</v>
      </c>
      <c r="C1289" t="str">
        <f>Hyperlink("https://www.diodes.com/part/view/DMP68D0LFB","DMP68D0LFB")</f>
        <v>DMP68D0LFB</v>
      </c>
      <c r="D1289" t="s">
        <v>2175</v>
      </c>
      <c r="E1289" t="s">
        <v>30</v>
      </c>
      <c r="F1289" t="s">
        <v>28</v>
      </c>
      <c r="G1289" t="s">
        <v>75</v>
      </c>
      <c r="H1289" t="s">
        <v>30</v>
      </c>
      <c r="I1289">
        <v>65</v>
      </c>
      <c r="J1289">
        <v>20</v>
      </c>
      <c r="K1289">
        <v>0.318</v>
      </c>
      <c r="M1289">
        <v>1.21</v>
      </c>
      <c r="Q1289">
        <v>18000</v>
      </c>
      <c r="T1289">
        <v>2.1</v>
      </c>
      <c r="X1289">
        <v>36</v>
      </c>
      <c r="Y1289" t="s">
        <v>846</v>
      </c>
    </row>
    <row r="1290" spans="1:25">
      <c r="A1290" t="s">
        <v>2176</v>
      </c>
      <c r="B1290" s="2" t="str">
        <f>Hyperlink("https://www.diodes.com/datasheet/download/DMP68D1L.pdf")</f>
        <v>https://www.diodes.com/datasheet/download/DMP68D1L.pdf</v>
      </c>
      <c r="C1290" t="str">
        <f>Hyperlink("https://www.diodes.com/part/view/DMP68D1L","DMP68D1L")</f>
        <v>DMP68D1L</v>
      </c>
      <c r="D1290" t="s">
        <v>1645</v>
      </c>
      <c r="E1290" t="s">
        <v>27</v>
      </c>
      <c r="F1290" t="s">
        <v>28</v>
      </c>
      <c r="G1290" t="s">
        <v>75</v>
      </c>
      <c r="H1290" t="s">
        <v>27</v>
      </c>
      <c r="I1290">
        <v>60</v>
      </c>
      <c r="J1290">
        <v>20</v>
      </c>
      <c r="K1290">
        <v>0.206</v>
      </c>
      <c r="M1290">
        <v>0.6</v>
      </c>
      <c r="O1290">
        <v>7500</v>
      </c>
      <c r="P1290" t="s">
        <v>2120</v>
      </c>
      <c r="S1290">
        <v>0.8</v>
      </c>
      <c r="T1290">
        <v>2.1</v>
      </c>
      <c r="U1290" t="s">
        <v>2121</v>
      </c>
      <c r="W1290">
        <v>42</v>
      </c>
      <c r="X1290">
        <v>30</v>
      </c>
      <c r="Y1290" t="s">
        <v>35</v>
      </c>
    </row>
    <row r="1291" spans="1:25">
      <c r="A1291" t="s">
        <v>2177</v>
      </c>
      <c r="B1291" s="2" t="str">
        <f>Hyperlink("https://www.diodes.com/datasheet/download/DMP68D1LFB.pdf")</f>
        <v>https://www.diodes.com/datasheet/download/DMP68D1LFB.pdf</v>
      </c>
      <c r="C1291" t="str">
        <f>Hyperlink("https://www.diodes.com/part/view/DMP68D1LFB","DMP68D1LFB")</f>
        <v>DMP68D1LFB</v>
      </c>
      <c r="D1291" t="s">
        <v>2175</v>
      </c>
      <c r="E1291" t="s">
        <v>30</v>
      </c>
      <c r="F1291" t="s">
        <v>28</v>
      </c>
      <c r="G1291" t="s">
        <v>75</v>
      </c>
      <c r="H1291" t="s">
        <v>27</v>
      </c>
      <c r="I1291">
        <v>65</v>
      </c>
      <c r="J1291">
        <v>20</v>
      </c>
      <c r="K1291">
        <v>0.29</v>
      </c>
      <c r="M1291">
        <v>1.2</v>
      </c>
      <c r="P1291" t="s">
        <v>1514</v>
      </c>
      <c r="Q1291">
        <v>18000</v>
      </c>
      <c r="S1291">
        <v>0.8</v>
      </c>
      <c r="T1291">
        <v>2.1</v>
      </c>
      <c r="U1291" t="s">
        <v>2178</v>
      </c>
      <c r="W1291">
        <v>42</v>
      </c>
      <c r="X1291">
        <v>30</v>
      </c>
      <c r="Y1291" t="s">
        <v>846</v>
      </c>
    </row>
    <row r="1292" spans="1:25">
      <c r="A1292" t="s">
        <v>2179</v>
      </c>
      <c r="B1292" s="2" t="str">
        <f>Hyperlink("https://www.diodes.com/datasheet/download/DMP68D1LQ.pdf")</f>
        <v>https://www.diodes.com/datasheet/download/DMP68D1LQ.pdf</v>
      </c>
      <c r="C1292" t="str">
        <f>Hyperlink("https://www.diodes.com/part/view/DMP68D1LQ","DMP68D1LQ")</f>
        <v>DMP68D1LQ</v>
      </c>
      <c r="D1292" t="s">
        <v>1645</v>
      </c>
      <c r="E1292" t="s">
        <v>27</v>
      </c>
      <c r="F1292" t="s">
        <v>37</v>
      </c>
      <c r="G1292" t="s">
        <v>75</v>
      </c>
      <c r="H1292" t="s">
        <v>27</v>
      </c>
      <c r="I1292">
        <v>60</v>
      </c>
      <c r="J1292">
        <v>20</v>
      </c>
      <c r="K1292">
        <v>0.206</v>
      </c>
      <c r="M1292">
        <v>0.6</v>
      </c>
      <c r="O1292">
        <v>7500</v>
      </c>
      <c r="P1292" t="s">
        <v>2120</v>
      </c>
      <c r="S1292">
        <v>0.8</v>
      </c>
      <c r="T1292">
        <v>2.1</v>
      </c>
      <c r="U1292" t="s">
        <v>2121</v>
      </c>
      <c r="W1292">
        <v>42</v>
      </c>
      <c r="X1292">
        <v>30</v>
      </c>
      <c r="Y1292" t="s">
        <v>35</v>
      </c>
    </row>
    <row r="1293" spans="1:25">
      <c r="A1293" t="s">
        <v>2180</v>
      </c>
      <c r="B1293" s="2" t="str">
        <f>Hyperlink("https://www.diodes.com/datasheet/download/DMP68D1LV.pdf")</f>
        <v>https://www.diodes.com/datasheet/download/DMP68D1LV.pdf</v>
      </c>
      <c r="C1293" t="str">
        <f>Hyperlink("https://www.diodes.com/part/view/DMP68D1LV","DMP68D1LV")</f>
        <v>DMP68D1LV</v>
      </c>
      <c r="D1293" t="s">
        <v>1837</v>
      </c>
      <c r="E1293" t="s">
        <v>30</v>
      </c>
      <c r="F1293" t="s">
        <v>28</v>
      </c>
      <c r="G1293" t="s">
        <v>124</v>
      </c>
      <c r="H1293" t="s">
        <v>27</v>
      </c>
      <c r="I1293">
        <v>60</v>
      </c>
      <c r="J1293">
        <v>20</v>
      </c>
      <c r="K1293">
        <v>0.238</v>
      </c>
      <c r="M1293">
        <v>0.8</v>
      </c>
      <c r="P1293" t="s">
        <v>2120</v>
      </c>
      <c r="S1293">
        <v>0.8</v>
      </c>
      <c r="T1293">
        <v>2.1</v>
      </c>
      <c r="U1293" t="s">
        <v>2121</v>
      </c>
      <c r="W1293">
        <v>42</v>
      </c>
      <c r="X1293">
        <v>30</v>
      </c>
      <c r="Y1293" t="s">
        <v>60</v>
      </c>
    </row>
    <row r="1294" spans="1:25">
      <c r="A1294" t="s">
        <v>2181</v>
      </c>
      <c r="B1294" s="2" t="str">
        <f>Hyperlink("https://www.diodes.com/datasheet/download/DMP68D1LVQ.pdf")</f>
        <v>https://www.diodes.com/datasheet/download/DMP68D1LVQ.pdf</v>
      </c>
      <c r="C1294" t="str">
        <f>Hyperlink("https://www.diodes.com/part/view/DMP68D1LVQ","DMP68D1LVQ")</f>
        <v>DMP68D1LVQ</v>
      </c>
      <c r="D1294" t="s">
        <v>1837</v>
      </c>
      <c r="E1294" t="s">
        <v>27</v>
      </c>
      <c r="F1294" t="s">
        <v>37</v>
      </c>
      <c r="G1294" t="s">
        <v>124</v>
      </c>
      <c r="H1294" t="s">
        <v>27</v>
      </c>
      <c r="I1294">
        <v>60</v>
      </c>
      <c r="J1294">
        <v>20</v>
      </c>
      <c r="K1294">
        <v>0.238</v>
      </c>
      <c r="M1294">
        <v>0.8</v>
      </c>
      <c r="P1294" t="s">
        <v>2120</v>
      </c>
      <c r="S1294">
        <v>0.8</v>
      </c>
      <c r="T1294">
        <v>2.1</v>
      </c>
      <c r="U1294" t="s">
        <v>2121</v>
      </c>
      <c r="W1294">
        <v>42</v>
      </c>
      <c r="X1294">
        <v>30</v>
      </c>
      <c r="Y1294" t="s">
        <v>60</v>
      </c>
    </row>
    <row r="1295" spans="1:25">
      <c r="A1295" t="s">
        <v>2182</v>
      </c>
      <c r="B1295" s="2" t="str">
        <f>Hyperlink("https://www.diodes.com/datasheet/download/DMPH1006UPS.pdf")</f>
        <v>https://www.diodes.com/datasheet/download/DMPH1006UPS.pdf</v>
      </c>
      <c r="C1295" t="str">
        <f>Hyperlink("https://www.diodes.com/part/view/DMPH1006UPS","DMPH1006UPS")</f>
        <v>DMPH1006UPS</v>
      </c>
      <c r="D1295" t="s">
        <v>2183</v>
      </c>
      <c r="E1295" t="s">
        <v>27</v>
      </c>
      <c r="F1295" t="s">
        <v>28</v>
      </c>
      <c r="G1295" t="s">
        <v>75</v>
      </c>
      <c r="H1295" t="s">
        <v>30</v>
      </c>
      <c r="I1295">
        <v>12</v>
      </c>
      <c r="J1295">
        <v>8</v>
      </c>
      <c r="L1295">
        <v>80</v>
      </c>
      <c r="M1295">
        <v>3.2</v>
      </c>
      <c r="P1295">
        <v>6</v>
      </c>
      <c r="Q1295">
        <v>8</v>
      </c>
      <c r="S1295">
        <v>0.4</v>
      </c>
      <c r="T1295">
        <v>1</v>
      </c>
      <c r="U1295">
        <v>72</v>
      </c>
      <c r="V1295" t="s">
        <v>2184</v>
      </c>
      <c r="W1295">
        <v>6334</v>
      </c>
      <c r="X1295">
        <v>10</v>
      </c>
      <c r="Y1295" t="s">
        <v>907</v>
      </c>
    </row>
    <row r="1296" spans="1:25">
      <c r="A1296" t="s">
        <v>2185</v>
      </c>
      <c r="B1296" s="2" t="str">
        <f>Hyperlink("https://www.diodes.com/datasheet/download/DMPH1006UPSQ.pdf")</f>
        <v>https://www.diodes.com/datasheet/download/DMPH1006UPSQ.pdf</v>
      </c>
      <c r="C1296" t="str">
        <f>Hyperlink("https://www.diodes.com/part/view/DMPH1006UPSQ","DMPH1006UPSQ")</f>
        <v>DMPH1006UPSQ</v>
      </c>
      <c r="D1296" t="s">
        <v>2183</v>
      </c>
      <c r="E1296" t="s">
        <v>27</v>
      </c>
      <c r="F1296" t="s">
        <v>37</v>
      </c>
      <c r="G1296" t="s">
        <v>75</v>
      </c>
      <c r="H1296" t="s">
        <v>30</v>
      </c>
      <c r="I1296">
        <v>12</v>
      </c>
      <c r="J1296">
        <v>8</v>
      </c>
      <c r="L1296">
        <v>80</v>
      </c>
      <c r="M1296">
        <v>3.2</v>
      </c>
      <c r="P1296">
        <v>6</v>
      </c>
      <c r="Q1296">
        <v>8</v>
      </c>
      <c r="S1296">
        <v>0.4</v>
      </c>
      <c r="T1296">
        <v>1</v>
      </c>
      <c r="U1296">
        <v>72</v>
      </c>
      <c r="V1296" t="s">
        <v>2184</v>
      </c>
      <c r="W1296">
        <v>6334</v>
      </c>
      <c r="X1296">
        <v>10</v>
      </c>
      <c r="Y1296" t="s">
        <v>907</v>
      </c>
    </row>
    <row r="1297" spans="1:25">
      <c r="A1297" t="s">
        <v>2186</v>
      </c>
      <c r="B1297" s="2" t="str">
        <f>Hyperlink("https://www.diodes.com/datasheet/download/DMPH16M1UPSW.pdf")</f>
        <v>https://www.diodes.com/datasheet/download/DMPH16M1UPSW.pdf</v>
      </c>
      <c r="C1297" t="str">
        <f>Hyperlink("https://www.diodes.com/part/view/DMPH16M1UPSW","DMPH16M1UPSW")</f>
        <v>DMPH16M1UPSW</v>
      </c>
      <c r="D1297" t="s">
        <v>2187</v>
      </c>
      <c r="E1297" t="s">
        <v>30</v>
      </c>
      <c r="F1297" t="s">
        <v>28</v>
      </c>
      <c r="G1297" t="s">
        <v>75</v>
      </c>
      <c r="H1297" t="s">
        <v>30</v>
      </c>
      <c r="I1297">
        <v>12</v>
      </c>
      <c r="J1297">
        <v>8</v>
      </c>
      <c r="K1297">
        <v>96</v>
      </c>
      <c r="M1297">
        <v>1.95</v>
      </c>
      <c r="P1297">
        <v>6</v>
      </c>
      <c r="Q1297">
        <v>8</v>
      </c>
      <c r="S1297">
        <v>0.4</v>
      </c>
      <c r="T1297">
        <v>1</v>
      </c>
      <c r="U1297">
        <v>75</v>
      </c>
      <c r="V1297">
        <v>164</v>
      </c>
      <c r="W1297">
        <v>5392</v>
      </c>
      <c r="X1297">
        <v>10</v>
      </c>
      <c r="Y1297" t="s">
        <v>1546</v>
      </c>
    </row>
    <row r="1298" spans="1:25">
      <c r="A1298" t="s">
        <v>2188</v>
      </c>
      <c r="B1298" s="2" t="str">
        <f>Hyperlink("https://www.diodes.com/datasheet/download/DMPH2040UVTQ.pdf")</f>
        <v>https://www.diodes.com/datasheet/download/DMPH2040UVTQ.pdf</v>
      </c>
      <c r="C1298" t="str">
        <f>Hyperlink("https://www.diodes.com/part/view/DMPH2040UVTQ","DMPH2040UVTQ")</f>
        <v>DMPH2040UVTQ</v>
      </c>
      <c r="D1298" t="s">
        <v>2189</v>
      </c>
      <c r="E1298" t="s">
        <v>27</v>
      </c>
      <c r="F1298" t="s">
        <v>37</v>
      </c>
      <c r="G1298" t="s">
        <v>75</v>
      </c>
      <c r="H1298" t="s">
        <v>30</v>
      </c>
      <c r="I1298">
        <v>20</v>
      </c>
      <c r="J1298">
        <v>12</v>
      </c>
      <c r="K1298">
        <v>5.6</v>
      </c>
      <c r="M1298">
        <v>1.5</v>
      </c>
      <c r="P1298">
        <v>38</v>
      </c>
      <c r="Q1298">
        <v>52</v>
      </c>
      <c r="S1298">
        <v>0.6</v>
      </c>
      <c r="T1298">
        <v>1.5</v>
      </c>
      <c r="U1298">
        <v>8.6</v>
      </c>
      <c r="V1298" t="s">
        <v>1741</v>
      </c>
      <c r="W1298">
        <v>834</v>
      </c>
      <c r="X1298">
        <v>10</v>
      </c>
      <c r="Y1298" t="s">
        <v>183</v>
      </c>
    </row>
    <row r="1299" spans="1:25">
      <c r="A1299" t="s">
        <v>2190</v>
      </c>
      <c r="B1299" s="2" t="str">
        <f>Hyperlink("https://www.diodes.com/datasheet/download/DMPH3010LK3.pdf")</f>
        <v>https://www.diodes.com/datasheet/download/DMPH3010LK3.pdf</v>
      </c>
      <c r="C1299" t="str">
        <f>Hyperlink("https://www.diodes.com/part/view/DMPH3010LK3","DMPH3010LK3")</f>
        <v>DMPH3010LK3</v>
      </c>
      <c r="D1299" t="s">
        <v>2191</v>
      </c>
      <c r="E1299" t="s">
        <v>27</v>
      </c>
      <c r="F1299" t="s">
        <v>28</v>
      </c>
      <c r="G1299" t="s">
        <v>75</v>
      </c>
      <c r="H1299" t="s">
        <v>30</v>
      </c>
      <c r="I1299">
        <v>30</v>
      </c>
      <c r="J1299">
        <v>20</v>
      </c>
      <c r="K1299">
        <v>16</v>
      </c>
      <c r="M1299">
        <v>3.9</v>
      </c>
      <c r="O1299">
        <v>7.5</v>
      </c>
      <c r="P1299">
        <v>10</v>
      </c>
      <c r="T1299">
        <v>2.1</v>
      </c>
      <c r="U1299">
        <v>66</v>
      </c>
      <c r="V1299">
        <v>139</v>
      </c>
      <c r="W1299">
        <v>6807</v>
      </c>
      <c r="X1299">
        <v>15</v>
      </c>
      <c r="Y1299" t="s">
        <v>681</v>
      </c>
    </row>
    <row r="1300" spans="1:25">
      <c r="A1300" t="s">
        <v>2192</v>
      </c>
      <c r="B1300" s="2" t="str">
        <f>Hyperlink("https://www.diodes.com/datasheet/download/DMPH3010LK3Q.pdf")</f>
        <v>https://www.diodes.com/datasheet/download/DMPH3010LK3Q.pdf</v>
      </c>
      <c r="C1300" t="str">
        <f>Hyperlink("https://www.diodes.com/part/view/DMPH3010LK3Q","DMPH3010LK3Q")</f>
        <v>DMPH3010LK3Q</v>
      </c>
      <c r="D1300" t="s">
        <v>2191</v>
      </c>
      <c r="E1300" t="s">
        <v>27</v>
      </c>
      <c r="F1300" t="s">
        <v>37</v>
      </c>
      <c r="G1300" t="s">
        <v>75</v>
      </c>
      <c r="H1300" t="s">
        <v>30</v>
      </c>
      <c r="I1300">
        <v>30</v>
      </c>
      <c r="J1300">
        <v>20</v>
      </c>
      <c r="K1300">
        <v>16</v>
      </c>
      <c r="M1300">
        <v>3.9</v>
      </c>
      <c r="O1300">
        <v>7.5</v>
      </c>
      <c r="P1300">
        <v>10</v>
      </c>
      <c r="T1300">
        <v>2.1</v>
      </c>
      <c r="U1300">
        <v>66</v>
      </c>
      <c r="V1300">
        <v>139</v>
      </c>
      <c r="W1300">
        <v>6807</v>
      </c>
      <c r="X1300">
        <v>15</v>
      </c>
      <c r="Y1300" t="s">
        <v>681</v>
      </c>
    </row>
    <row r="1301" spans="1:25">
      <c r="A1301" t="s">
        <v>2193</v>
      </c>
      <c r="B1301" s="2" t="str">
        <f>Hyperlink("https://www.diodes.com/datasheet/download/DMPH3010LPS.pdf")</f>
        <v>https://www.diodes.com/datasheet/download/DMPH3010LPS.pdf</v>
      </c>
      <c r="C1301" t="str">
        <f>Hyperlink("https://www.diodes.com/part/view/DMPH3010LPS","DMPH3010LPS")</f>
        <v>DMPH3010LPS</v>
      </c>
      <c r="D1301" t="s">
        <v>2191</v>
      </c>
      <c r="E1301" t="s">
        <v>27</v>
      </c>
      <c r="F1301" t="s">
        <v>28</v>
      </c>
      <c r="G1301" t="s">
        <v>75</v>
      </c>
      <c r="H1301" t="s">
        <v>30</v>
      </c>
      <c r="I1301">
        <v>30</v>
      </c>
      <c r="J1301">
        <v>20</v>
      </c>
      <c r="K1301">
        <v>15</v>
      </c>
      <c r="M1301">
        <v>2.6</v>
      </c>
      <c r="O1301">
        <v>7.5</v>
      </c>
      <c r="P1301">
        <v>10</v>
      </c>
      <c r="T1301">
        <v>2.1</v>
      </c>
      <c r="U1301">
        <v>66</v>
      </c>
      <c r="V1301">
        <v>139</v>
      </c>
      <c r="W1301">
        <v>6807</v>
      </c>
      <c r="X1301">
        <v>15</v>
      </c>
      <c r="Y1301" t="s">
        <v>907</v>
      </c>
    </row>
    <row r="1302" spans="1:25">
      <c r="A1302" t="s">
        <v>2194</v>
      </c>
      <c r="B1302" s="2" t="str">
        <f>Hyperlink("https://www.diodes.com/datasheet/download/DMPH3010LPSQ.pdf")</f>
        <v>https://www.diodes.com/datasheet/download/DMPH3010LPSQ.pdf</v>
      </c>
      <c r="C1302" t="str">
        <f>Hyperlink("https://www.diodes.com/part/view/DMPH3010LPSQ","DMPH3010LPSQ")</f>
        <v>DMPH3010LPSQ</v>
      </c>
      <c r="D1302" t="s">
        <v>2191</v>
      </c>
      <c r="E1302" t="s">
        <v>27</v>
      </c>
      <c r="F1302" t="s">
        <v>37</v>
      </c>
      <c r="G1302" t="s">
        <v>75</v>
      </c>
      <c r="H1302" t="s">
        <v>30</v>
      </c>
      <c r="I1302">
        <v>30</v>
      </c>
      <c r="J1302">
        <v>20</v>
      </c>
      <c r="K1302">
        <v>15</v>
      </c>
      <c r="M1302">
        <v>2.6</v>
      </c>
      <c r="O1302">
        <v>7.5</v>
      </c>
      <c r="P1302">
        <v>10</v>
      </c>
      <c r="T1302">
        <v>2.1</v>
      </c>
      <c r="U1302">
        <v>66</v>
      </c>
      <c r="V1302">
        <v>139</v>
      </c>
      <c r="W1302">
        <v>6807</v>
      </c>
      <c r="X1302">
        <v>15</v>
      </c>
      <c r="Y1302" t="s">
        <v>907</v>
      </c>
    </row>
    <row r="1303" spans="1:25">
      <c r="A1303" t="s">
        <v>2195</v>
      </c>
      <c r="B1303" s="2" t="str">
        <f>Hyperlink("https://www.diodes.com/datasheet/download/DMPH33M8SPSW.pdf")</f>
        <v>https://www.diodes.com/datasheet/download/DMPH33M8SPSW.pdf</v>
      </c>
      <c r="C1303" t="str">
        <f>Hyperlink("https://www.diodes.com/part/view/DMPH33M8SPSW","DMPH33M8SPSW")</f>
        <v>DMPH33M8SPSW</v>
      </c>
      <c r="D1303" t="s">
        <v>661</v>
      </c>
      <c r="E1303" t="s">
        <v>30</v>
      </c>
      <c r="F1303" t="s">
        <v>28</v>
      </c>
      <c r="G1303" t="s">
        <v>75</v>
      </c>
      <c r="H1303" t="s">
        <v>30</v>
      </c>
      <c r="I1303">
        <v>30</v>
      </c>
      <c r="J1303">
        <v>20</v>
      </c>
      <c r="L1303">
        <v>100</v>
      </c>
      <c r="M1303">
        <v>3.4</v>
      </c>
      <c r="O1303">
        <v>3.8</v>
      </c>
      <c r="P1303">
        <v>10</v>
      </c>
      <c r="S1303">
        <v>1</v>
      </c>
      <c r="T1303">
        <v>3</v>
      </c>
      <c r="U1303">
        <v>40.7</v>
      </c>
      <c r="V1303">
        <v>80.8</v>
      </c>
      <c r="W1303">
        <v>3775</v>
      </c>
      <c r="X1303">
        <v>15</v>
      </c>
      <c r="Y1303" t="s">
        <v>1847</v>
      </c>
    </row>
    <row r="1304" spans="1:25">
      <c r="A1304" t="s">
        <v>2196</v>
      </c>
      <c r="B1304" s="2" t="str">
        <f>Hyperlink("https://www.diodes.com/datasheet/download/DMPH33M8SPSWQ.pdf")</f>
        <v>https://www.diodes.com/datasheet/download/DMPH33M8SPSWQ.pdf</v>
      </c>
      <c r="C1304" t="str">
        <f>Hyperlink("https://www.diodes.com/part/view/DMPH33M8SPSWQ","DMPH33M8SPSWQ")</f>
        <v>DMPH33M8SPSWQ</v>
      </c>
      <c r="D1304" t="s">
        <v>661</v>
      </c>
      <c r="E1304" t="s">
        <v>27</v>
      </c>
      <c r="F1304" t="s">
        <v>37</v>
      </c>
      <c r="G1304" t="s">
        <v>75</v>
      </c>
      <c r="H1304" t="s">
        <v>30</v>
      </c>
      <c r="I1304">
        <v>30</v>
      </c>
      <c r="J1304">
        <v>20</v>
      </c>
      <c r="L1304">
        <v>100</v>
      </c>
      <c r="M1304">
        <v>3.4</v>
      </c>
      <c r="O1304">
        <v>3.8</v>
      </c>
      <c r="P1304">
        <v>10</v>
      </c>
      <c r="S1304">
        <v>1</v>
      </c>
      <c r="T1304">
        <v>3</v>
      </c>
      <c r="U1304">
        <v>40.7</v>
      </c>
      <c r="V1304">
        <v>80.8</v>
      </c>
      <c r="W1304">
        <v>3775</v>
      </c>
      <c r="X1304">
        <v>15</v>
      </c>
      <c r="Y1304" t="s">
        <v>1847</v>
      </c>
    </row>
    <row r="1305" spans="1:25">
      <c r="A1305" t="s">
        <v>2197</v>
      </c>
      <c r="B1305" s="2" t="str">
        <f>Hyperlink("https://www.diodes.com/datasheet/download/DMPH4009SPSW.pdf")</f>
        <v>https://www.diodes.com/datasheet/download/DMPH4009SPSW.pdf</v>
      </c>
      <c r="C1305" t="str">
        <f>Hyperlink("https://www.diodes.com/part/view/DMPH4009SPSW","DMPH4009SPSW")</f>
        <v>DMPH4009SPSW</v>
      </c>
      <c r="D1305" t="s">
        <v>2198</v>
      </c>
      <c r="E1305" t="s">
        <v>30</v>
      </c>
      <c r="F1305" t="s">
        <v>28</v>
      </c>
      <c r="G1305" t="s">
        <v>75</v>
      </c>
      <c r="H1305" t="s">
        <v>30</v>
      </c>
      <c r="I1305">
        <v>40</v>
      </c>
      <c r="J1305">
        <v>20</v>
      </c>
      <c r="L1305">
        <v>83.4</v>
      </c>
      <c r="M1305">
        <v>4.6</v>
      </c>
      <c r="N1305">
        <v>143</v>
      </c>
      <c r="O1305">
        <v>11</v>
      </c>
      <c r="P1305">
        <v>19</v>
      </c>
      <c r="S1305">
        <v>1</v>
      </c>
      <c r="T1305">
        <v>2.5</v>
      </c>
      <c r="U1305">
        <v>53</v>
      </c>
      <c r="V1305">
        <v>112</v>
      </c>
      <c r="W1305">
        <v>5697</v>
      </c>
      <c r="X1305">
        <v>20</v>
      </c>
      <c r="Y1305" t="s">
        <v>1546</v>
      </c>
    </row>
    <row r="1306" spans="1:25">
      <c r="A1306" t="s">
        <v>2199</v>
      </c>
      <c r="B1306" s="2" t="str">
        <f>Hyperlink("https://www.diodes.com/datasheet/download/DMPH4009SPSWQ.pdf")</f>
        <v>https://www.diodes.com/datasheet/download/DMPH4009SPSWQ.pdf</v>
      </c>
      <c r="C1306" t="str">
        <f>Hyperlink("https://www.diodes.com/part/view/DMPH4009SPSWQ","DMPH4009SPSWQ")</f>
        <v>DMPH4009SPSWQ</v>
      </c>
      <c r="D1306" t="s">
        <v>2198</v>
      </c>
      <c r="E1306" t="s">
        <v>27</v>
      </c>
      <c r="F1306" t="s">
        <v>37</v>
      </c>
      <c r="G1306" t="s">
        <v>75</v>
      </c>
      <c r="H1306" t="s">
        <v>30</v>
      </c>
      <c r="I1306">
        <v>40</v>
      </c>
      <c r="J1306">
        <v>20</v>
      </c>
      <c r="L1306">
        <v>83.4</v>
      </c>
      <c r="M1306">
        <v>4.6</v>
      </c>
      <c r="N1306">
        <v>143</v>
      </c>
      <c r="O1306">
        <v>11</v>
      </c>
      <c r="P1306">
        <v>19</v>
      </c>
      <c r="S1306">
        <v>1</v>
      </c>
      <c r="T1306">
        <v>2.5</v>
      </c>
      <c r="U1306">
        <v>53</v>
      </c>
      <c r="V1306">
        <v>112</v>
      </c>
      <c r="W1306">
        <v>5697</v>
      </c>
      <c r="X1306">
        <v>20</v>
      </c>
      <c r="Y1306" t="s">
        <v>1546</v>
      </c>
    </row>
    <row r="1307" spans="1:25">
      <c r="A1307" t="s">
        <v>2200</v>
      </c>
      <c r="B1307" s="2" t="str">
        <f>Hyperlink("https://www.diodes.com/datasheet/download/DMPH4009SSS.pdf")</f>
        <v>https://www.diodes.com/datasheet/download/DMPH4009SSS.pdf</v>
      </c>
      <c r="C1307" t="str">
        <f>Hyperlink("https://www.diodes.com/part/view/DMPH4009SSS","DMPH4009SSS")</f>
        <v>DMPH4009SSS</v>
      </c>
      <c r="D1307" t="s">
        <v>2198</v>
      </c>
      <c r="E1307" t="s">
        <v>30</v>
      </c>
      <c r="F1307" t="s">
        <v>28</v>
      </c>
      <c r="G1307" t="s">
        <v>75</v>
      </c>
      <c r="H1307" t="s">
        <v>30</v>
      </c>
      <c r="I1307">
        <v>40</v>
      </c>
      <c r="J1307">
        <v>20</v>
      </c>
      <c r="K1307">
        <v>11</v>
      </c>
      <c r="M1307">
        <v>2.5</v>
      </c>
      <c r="O1307">
        <v>11</v>
      </c>
      <c r="P1307">
        <v>19</v>
      </c>
      <c r="S1307">
        <v>1</v>
      </c>
      <c r="T1307">
        <v>2.5</v>
      </c>
      <c r="U1307">
        <v>53</v>
      </c>
      <c r="V1307">
        <v>112</v>
      </c>
      <c r="W1307">
        <v>5697</v>
      </c>
      <c r="X1307">
        <v>20</v>
      </c>
      <c r="Y1307" t="s">
        <v>213</v>
      </c>
    </row>
    <row r="1308" spans="1:25">
      <c r="A1308" t="s">
        <v>2201</v>
      </c>
      <c r="B1308" s="2" t="str">
        <f>Hyperlink("https://www.diodes.com/datasheet/download/DMPH4009SSSQ.pdf")</f>
        <v>https://www.diodes.com/datasheet/download/DMPH4009SSSQ.pdf</v>
      </c>
      <c r="C1308" t="str">
        <f>Hyperlink("https://www.diodes.com/part/view/DMPH4009SSSQ","DMPH4009SSSQ")</f>
        <v>DMPH4009SSSQ</v>
      </c>
      <c r="D1308" t="s">
        <v>2202</v>
      </c>
      <c r="E1308" t="s">
        <v>27</v>
      </c>
      <c r="F1308" t="s">
        <v>37</v>
      </c>
      <c r="G1308" t="s">
        <v>75</v>
      </c>
      <c r="H1308" t="s">
        <v>30</v>
      </c>
      <c r="I1308">
        <v>40</v>
      </c>
      <c r="J1308">
        <v>20</v>
      </c>
      <c r="K1308">
        <v>11</v>
      </c>
      <c r="M1308">
        <v>2.5</v>
      </c>
      <c r="O1308">
        <v>11</v>
      </c>
      <c r="P1308">
        <v>19</v>
      </c>
      <c r="S1308">
        <v>1</v>
      </c>
      <c r="T1308">
        <v>2.5</v>
      </c>
      <c r="U1308">
        <v>53</v>
      </c>
      <c r="V1308">
        <v>112</v>
      </c>
      <c r="W1308">
        <v>5697</v>
      </c>
      <c r="X1308">
        <v>20</v>
      </c>
      <c r="Y1308" t="s">
        <v>213</v>
      </c>
    </row>
    <row r="1309" spans="1:25">
      <c r="A1309" t="s">
        <v>2203</v>
      </c>
      <c r="B1309" s="2" t="str">
        <f>Hyperlink("https://www.diodes.com/datasheet/download/DMPH4011SK3.pdf")</f>
        <v>https://www.diodes.com/datasheet/download/DMPH4011SK3.pdf</v>
      </c>
      <c r="C1309" t="str">
        <f>Hyperlink("https://www.diodes.com/part/view/DMPH4011SK3","DMPH4011SK3")</f>
        <v>DMPH4011SK3</v>
      </c>
      <c r="D1309" t="s">
        <v>2204</v>
      </c>
      <c r="E1309" t="s">
        <v>27</v>
      </c>
      <c r="F1309" t="s">
        <v>28</v>
      </c>
      <c r="G1309" t="s">
        <v>75</v>
      </c>
      <c r="H1309" t="s">
        <v>30</v>
      </c>
      <c r="I1309">
        <v>40</v>
      </c>
      <c r="J1309">
        <v>20</v>
      </c>
      <c r="L1309">
        <v>79</v>
      </c>
      <c r="M1309">
        <v>3.7</v>
      </c>
      <c r="O1309">
        <v>11</v>
      </c>
      <c r="P1309">
        <v>19</v>
      </c>
      <c r="T1309">
        <v>2.5</v>
      </c>
      <c r="W1309">
        <v>4497</v>
      </c>
      <c r="X1309">
        <v>20</v>
      </c>
      <c r="Y1309" t="s">
        <v>681</v>
      </c>
    </row>
    <row r="1310" spans="1:25">
      <c r="A1310" t="s">
        <v>2205</v>
      </c>
      <c r="B1310" s="2" t="str">
        <f>Hyperlink("https://www.diodes.com/datasheet/download/DMPH4011SK3Q.pdf")</f>
        <v>https://www.diodes.com/datasheet/download/DMPH4011SK3Q.pdf</v>
      </c>
      <c r="C1310" t="str">
        <f>Hyperlink("https://www.diodes.com/part/view/DMPH4011SK3Q","DMPH4011SK3Q")</f>
        <v>DMPH4011SK3Q</v>
      </c>
      <c r="D1310" t="s">
        <v>2204</v>
      </c>
      <c r="E1310" t="s">
        <v>27</v>
      </c>
      <c r="F1310" t="s">
        <v>37</v>
      </c>
      <c r="G1310" t="s">
        <v>75</v>
      </c>
      <c r="H1310" t="s">
        <v>30</v>
      </c>
      <c r="I1310">
        <v>40</v>
      </c>
      <c r="J1310">
        <v>20</v>
      </c>
      <c r="L1310">
        <v>79</v>
      </c>
      <c r="M1310">
        <v>3.7</v>
      </c>
      <c r="N1310">
        <v>115</v>
      </c>
      <c r="O1310">
        <v>11</v>
      </c>
      <c r="P1310">
        <v>19</v>
      </c>
      <c r="T1310">
        <v>2.5</v>
      </c>
      <c r="W1310">
        <v>4497</v>
      </c>
      <c r="X1310">
        <v>20</v>
      </c>
      <c r="Y1310" t="s">
        <v>681</v>
      </c>
    </row>
    <row r="1311" spans="1:25">
      <c r="A1311" t="s">
        <v>2206</v>
      </c>
      <c r="B1311" s="2" t="str">
        <f>Hyperlink("https://www.diodes.com/datasheet/download/DMPH4013SK3.pdf")</f>
        <v>https://www.diodes.com/datasheet/download/DMPH4013SK3.pdf</v>
      </c>
      <c r="C1311" t="str">
        <f>Hyperlink("https://www.diodes.com/part/view/DMPH4013SK3","DMPH4013SK3")</f>
        <v>DMPH4013SK3</v>
      </c>
      <c r="D1311" t="s">
        <v>74</v>
      </c>
      <c r="E1311" t="s">
        <v>27</v>
      </c>
      <c r="F1311" t="s">
        <v>28</v>
      </c>
      <c r="G1311" t="s">
        <v>75</v>
      </c>
      <c r="H1311" t="s">
        <v>30</v>
      </c>
      <c r="I1311">
        <v>40</v>
      </c>
      <c r="J1311">
        <v>20</v>
      </c>
      <c r="L1311">
        <v>55</v>
      </c>
      <c r="M1311">
        <v>3.7</v>
      </c>
      <c r="O1311">
        <v>15</v>
      </c>
      <c r="P1311">
        <v>23</v>
      </c>
      <c r="T1311">
        <v>3</v>
      </c>
      <c r="U1311">
        <v>31</v>
      </c>
      <c r="V1311">
        <v>67</v>
      </c>
      <c r="W1311">
        <v>4004</v>
      </c>
      <c r="X1311">
        <v>20</v>
      </c>
      <c r="Y1311" t="s">
        <v>681</v>
      </c>
    </row>
    <row r="1312" spans="1:25">
      <c r="A1312" t="s">
        <v>2207</v>
      </c>
      <c r="B1312" s="2" t="str">
        <f>Hyperlink("https://www.diodes.com/datasheet/download/DMPH4013SK3Q.pdf")</f>
        <v>https://www.diodes.com/datasheet/download/DMPH4013SK3Q.pdf</v>
      </c>
      <c r="C1312" t="str">
        <f>Hyperlink("https://www.diodes.com/part/view/DMPH4013SK3Q","DMPH4013SK3Q")</f>
        <v>DMPH4013SK3Q</v>
      </c>
      <c r="D1312" t="s">
        <v>2191</v>
      </c>
      <c r="E1312" t="s">
        <v>27</v>
      </c>
      <c r="F1312" t="s">
        <v>37</v>
      </c>
      <c r="G1312" t="s">
        <v>75</v>
      </c>
      <c r="H1312" t="s">
        <v>30</v>
      </c>
      <c r="I1312">
        <v>40</v>
      </c>
      <c r="J1312">
        <v>20</v>
      </c>
      <c r="L1312">
        <v>55</v>
      </c>
      <c r="M1312">
        <v>3.7</v>
      </c>
      <c r="O1312">
        <v>15</v>
      </c>
      <c r="P1312">
        <v>23</v>
      </c>
      <c r="T1312">
        <v>3</v>
      </c>
      <c r="U1312">
        <v>31</v>
      </c>
      <c r="V1312">
        <v>67</v>
      </c>
      <c r="W1312">
        <v>4004</v>
      </c>
      <c r="X1312">
        <v>20</v>
      </c>
      <c r="Y1312" t="s">
        <v>681</v>
      </c>
    </row>
    <row r="1313" spans="1:25">
      <c r="A1313" t="s">
        <v>2208</v>
      </c>
      <c r="B1313" s="2" t="str">
        <f>Hyperlink("https://www.diodes.com/datasheet/download/DMPH4013SPSQ.pdf")</f>
        <v>https://www.diodes.com/datasheet/download/DMPH4013SPSQ.pdf</v>
      </c>
      <c r="C1313" t="str">
        <f>Hyperlink("https://www.diodes.com/part/view/DMPH4013SPSQ","DMPH4013SPSQ")</f>
        <v>DMPH4013SPSQ</v>
      </c>
      <c r="D1313" t="s">
        <v>2209</v>
      </c>
      <c r="E1313" t="s">
        <v>27</v>
      </c>
      <c r="F1313" t="s">
        <v>37</v>
      </c>
      <c r="G1313" t="s">
        <v>75</v>
      </c>
      <c r="H1313" t="s">
        <v>30</v>
      </c>
      <c r="I1313">
        <v>40</v>
      </c>
      <c r="J1313">
        <v>20</v>
      </c>
      <c r="L1313">
        <v>69</v>
      </c>
      <c r="M1313">
        <v>3.3</v>
      </c>
      <c r="O1313">
        <v>13</v>
      </c>
      <c r="P1313">
        <v>23</v>
      </c>
      <c r="T1313">
        <v>3</v>
      </c>
      <c r="U1313">
        <v>39</v>
      </c>
      <c r="V1313">
        <v>87</v>
      </c>
      <c r="W1313">
        <v>4767</v>
      </c>
      <c r="X1313">
        <v>20</v>
      </c>
      <c r="Y1313" t="s">
        <v>907</v>
      </c>
    </row>
    <row r="1314" spans="1:25">
      <c r="A1314" t="s">
        <v>2210</v>
      </c>
      <c r="B1314" s="2" t="str">
        <f>Hyperlink("https://www.diodes.com/datasheet/download/DMPH4013SPSW.pdf")</f>
        <v>https://www.diodes.com/datasheet/download/DMPH4013SPSW.pdf</v>
      </c>
      <c r="C1314" t="str">
        <f>Hyperlink("https://www.diodes.com/part/view/DMPH4013SPSW","DMPH4013SPSW")</f>
        <v>DMPH4013SPSW</v>
      </c>
      <c r="D1314" t="s">
        <v>2198</v>
      </c>
      <c r="E1314" t="s">
        <v>30</v>
      </c>
      <c r="F1314" t="s">
        <v>28</v>
      </c>
      <c r="G1314" t="s">
        <v>75</v>
      </c>
      <c r="H1314" t="s">
        <v>30</v>
      </c>
      <c r="I1314">
        <v>40</v>
      </c>
      <c r="J1314">
        <v>20</v>
      </c>
      <c r="L1314">
        <v>69</v>
      </c>
      <c r="M1314">
        <v>3.3</v>
      </c>
      <c r="O1314">
        <v>13</v>
      </c>
      <c r="P1314">
        <v>23</v>
      </c>
      <c r="S1314">
        <v>1</v>
      </c>
      <c r="T1314">
        <v>3</v>
      </c>
      <c r="U1314">
        <v>39</v>
      </c>
      <c r="V1314">
        <v>87</v>
      </c>
      <c r="W1314">
        <v>4763</v>
      </c>
      <c r="X1314">
        <v>20</v>
      </c>
      <c r="Y1314" t="s">
        <v>1546</v>
      </c>
    </row>
    <row r="1315" spans="1:25">
      <c r="A1315" t="s">
        <v>2211</v>
      </c>
      <c r="B1315" s="2" t="str">
        <f>Hyperlink("https://www.diodes.com/datasheet/download/DMPH4013SPSWQ.pdf")</f>
        <v>https://www.diodes.com/datasheet/download/DMPH4013SPSWQ.pdf</v>
      </c>
      <c r="C1315" t="str">
        <f>Hyperlink("https://www.diodes.com/part/view/DMPH4013SPSWQ","DMPH4013SPSWQ")</f>
        <v>DMPH4013SPSWQ</v>
      </c>
      <c r="D1315" t="s">
        <v>2212</v>
      </c>
      <c r="E1315" t="s">
        <v>27</v>
      </c>
      <c r="F1315" t="s">
        <v>37</v>
      </c>
      <c r="G1315" t="s">
        <v>75</v>
      </c>
      <c r="H1315" t="s">
        <v>30</v>
      </c>
      <c r="I1315">
        <v>40</v>
      </c>
      <c r="J1315">
        <v>20</v>
      </c>
      <c r="L1315">
        <v>69</v>
      </c>
      <c r="M1315">
        <v>3.3</v>
      </c>
      <c r="O1315">
        <v>13</v>
      </c>
      <c r="P1315">
        <v>23</v>
      </c>
      <c r="S1315">
        <v>1</v>
      </c>
      <c r="T1315">
        <v>3</v>
      </c>
      <c r="U1315">
        <v>39</v>
      </c>
      <c r="V1315">
        <v>87</v>
      </c>
      <c r="W1315">
        <v>4763</v>
      </c>
      <c r="X1315">
        <v>20</v>
      </c>
      <c r="Y1315" t="s">
        <v>1546</v>
      </c>
    </row>
    <row r="1316" spans="1:25">
      <c r="A1316" t="s">
        <v>2213</v>
      </c>
      <c r="B1316" s="2" t="str">
        <f>Hyperlink("https://www.diodes.com/datasheet/download/DMPH4015SK3Q.pdf")</f>
        <v>https://www.diodes.com/datasheet/download/DMPH4015SK3Q.pdf</v>
      </c>
      <c r="C1316" t="str">
        <f>Hyperlink("https://www.diodes.com/part/view/DMPH4015SK3Q","DMPH4015SK3Q")</f>
        <v>DMPH4015SK3Q</v>
      </c>
      <c r="D1316" t="s">
        <v>2191</v>
      </c>
      <c r="E1316" t="s">
        <v>27</v>
      </c>
      <c r="F1316" t="s">
        <v>37</v>
      </c>
      <c r="G1316" t="s">
        <v>75</v>
      </c>
      <c r="H1316" t="s">
        <v>30</v>
      </c>
      <c r="I1316">
        <v>40</v>
      </c>
      <c r="J1316">
        <v>25</v>
      </c>
      <c r="K1316">
        <v>14</v>
      </c>
      <c r="M1316">
        <v>3.3</v>
      </c>
      <c r="O1316">
        <v>11</v>
      </c>
      <c r="P1316">
        <v>5</v>
      </c>
      <c r="T1316">
        <v>2.5</v>
      </c>
      <c r="U1316">
        <v>42.7</v>
      </c>
      <c r="V1316">
        <v>91</v>
      </c>
      <c r="Y1316" t="s">
        <v>681</v>
      </c>
    </row>
    <row r="1317" spans="1:25">
      <c r="A1317" t="s">
        <v>2214</v>
      </c>
      <c r="B1317" s="2" t="str">
        <f>Hyperlink("https://www.diodes.com/datasheet/download/DMPH4015SPSQ.pdf")</f>
        <v>https://www.diodes.com/datasheet/download/DMPH4015SPSQ.pdf</v>
      </c>
      <c r="C1317" t="str">
        <f>Hyperlink("https://www.diodes.com/part/view/DMPH4015SPSQ","DMPH4015SPSQ")</f>
        <v>DMPH4015SPSQ</v>
      </c>
      <c r="D1317" t="s">
        <v>2191</v>
      </c>
      <c r="E1317" t="s">
        <v>27</v>
      </c>
      <c r="F1317" t="s">
        <v>37</v>
      </c>
      <c r="G1317" t="s">
        <v>75</v>
      </c>
      <c r="H1317" t="s">
        <v>30</v>
      </c>
      <c r="I1317">
        <v>40</v>
      </c>
      <c r="J1317">
        <v>25</v>
      </c>
      <c r="K1317">
        <v>12</v>
      </c>
      <c r="M1317">
        <v>2.6</v>
      </c>
      <c r="O1317">
        <v>10</v>
      </c>
      <c r="P1317">
        <v>14</v>
      </c>
      <c r="T1317">
        <v>2.5</v>
      </c>
      <c r="U1317">
        <v>42.7</v>
      </c>
      <c r="V1317">
        <v>91</v>
      </c>
      <c r="X1317">
        <v>20</v>
      </c>
      <c r="Y1317" t="s">
        <v>907</v>
      </c>
    </row>
    <row r="1318" spans="1:25">
      <c r="A1318" t="s">
        <v>2215</v>
      </c>
      <c r="B1318" s="2" t="str">
        <f>Hyperlink("https://www.diodes.com/datasheet/download/DMPH4015SPSWQ.pdf")</f>
        <v>https://www.diodes.com/datasheet/download/DMPH4015SPSWQ.pdf</v>
      </c>
      <c r="C1318" t="str">
        <f>Hyperlink("https://www.diodes.com/part/view/DMPH4015SPSWQ","DMPH4015SPSWQ")</f>
        <v>DMPH4015SPSWQ</v>
      </c>
      <c r="D1318" t="s">
        <v>2216</v>
      </c>
      <c r="E1318" t="s">
        <v>27</v>
      </c>
      <c r="F1318" t="s">
        <v>37</v>
      </c>
      <c r="G1318" t="s">
        <v>75</v>
      </c>
      <c r="H1318" t="s">
        <v>30</v>
      </c>
      <c r="I1318">
        <v>40</v>
      </c>
      <c r="J1318">
        <v>25</v>
      </c>
      <c r="K1318">
        <v>12</v>
      </c>
      <c r="L1318">
        <v>50</v>
      </c>
      <c r="M1318">
        <v>2.6</v>
      </c>
      <c r="O1318">
        <v>10</v>
      </c>
      <c r="P1318">
        <v>14</v>
      </c>
      <c r="S1318">
        <v>1.5</v>
      </c>
      <c r="T1318">
        <v>2.5</v>
      </c>
      <c r="U1318">
        <v>42.7</v>
      </c>
      <c r="V1318">
        <v>91</v>
      </c>
      <c r="W1318">
        <v>4234</v>
      </c>
      <c r="X1318">
        <v>20</v>
      </c>
      <c r="Y1318" t="s">
        <v>1546</v>
      </c>
    </row>
    <row r="1319" spans="1:25">
      <c r="A1319" t="s">
        <v>2217</v>
      </c>
      <c r="B1319" s="2" t="str">
        <f>Hyperlink("https://www.diodes.com/datasheet/download/DMPH4015SSSQ.pdf")</f>
        <v>https://www.diodes.com/datasheet/download/DMPH4015SSSQ.pdf</v>
      </c>
      <c r="C1319" t="str">
        <f>Hyperlink("https://www.diodes.com/part/view/DMPH4015SSSQ","DMPH4015SSSQ")</f>
        <v>DMPH4015SSSQ</v>
      </c>
      <c r="D1319" t="s">
        <v>74</v>
      </c>
      <c r="E1319" t="s">
        <v>27</v>
      </c>
      <c r="F1319" t="s">
        <v>37</v>
      </c>
      <c r="G1319" t="s">
        <v>75</v>
      </c>
      <c r="H1319" t="s">
        <v>30</v>
      </c>
      <c r="I1319">
        <v>40</v>
      </c>
      <c r="J1319">
        <v>25</v>
      </c>
      <c r="K1319">
        <v>11.4</v>
      </c>
      <c r="M1319">
        <v>1.8</v>
      </c>
      <c r="O1319">
        <v>11</v>
      </c>
      <c r="P1319">
        <v>15</v>
      </c>
      <c r="T1319">
        <v>2.5</v>
      </c>
      <c r="U1319">
        <v>42.7</v>
      </c>
      <c r="V1319">
        <v>91</v>
      </c>
      <c r="Y1319" t="s">
        <v>213</v>
      </c>
    </row>
    <row r="1320" spans="1:25">
      <c r="A1320" t="s">
        <v>2218</v>
      </c>
      <c r="B1320" s="2" t="str">
        <f>Hyperlink("https://www.diodes.com/datasheet/download/DMPH4016SK3.pdf")</f>
        <v>https://www.diodes.com/datasheet/download/DMPH4016SK3.pdf</v>
      </c>
      <c r="C1320" t="str">
        <f>Hyperlink("https://www.diodes.com/part/view/DMPH4016SK3","DMPH4016SK3")</f>
        <v>DMPH4016SK3</v>
      </c>
      <c r="D1320" t="s">
        <v>2219</v>
      </c>
      <c r="E1320" t="s">
        <v>30</v>
      </c>
      <c r="F1320" t="s">
        <v>28</v>
      </c>
      <c r="G1320" t="s">
        <v>75</v>
      </c>
      <c r="H1320" t="s">
        <v>30</v>
      </c>
      <c r="I1320">
        <v>40</v>
      </c>
      <c r="J1320">
        <v>20</v>
      </c>
      <c r="L1320">
        <v>80</v>
      </c>
      <c r="M1320">
        <v>4.9</v>
      </c>
      <c r="N1320">
        <v>136</v>
      </c>
      <c r="O1320">
        <v>11</v>
      </c>
      <c r="P1320">
        <v>15</v>
      </c>
      <c r="S1320">
        <v>1.5</v>
      </c>
      <c r="T1320">
        <v>2.5</v>
      </c>
      <c r="U1320">
        <v>53</v>
      </c>
      <c r="V1320">
        <v>112</v>
      </c>
      <c r="W1320">
        <v>5697</v>
      </c>
      <c r="X1320">
        <v>20</v>
      </c>
      <c r="Y1320" t="s">
        <v>681</v>
      </c>
    </row>
    <row r="1321" spans="1:25">
      <c r="A1321" t="s">
        <v>2220</v>
      </c>
      <c r="B1321" s="2" t="str">
        <f>Hyperlink("https://www.diodes.com/datasheet/download/DMPH4016SK3Q.pdf")</f>
        <v>https://www.diodes.com/datasheet/download/DMPH4016SK3Q.pdf</v>
      </c>
      <c r="C1321" t="str">
        <f>Hyperlink("https://www.diodes.com/part/view/DMPH4016SK3Q","DMPH4016SK3Q")</f>
        <v>DMPH4016SK3Q</v>
      </c>
      <c r="D1321" t="s">
        <v>2219</v>
      </c>
      <c r="E1321" t="s">
        <v>27</v>
      </c>
      <c r="F1321" t="s">
        <v>37</v>
      </c>
      <c r="G1321" t="s">
        <v>75</v>
      </c>
      <c r="H1321" t="s">
        <v>30</v>
      </c>
      <c r="I1321">
        <v>40</v>
      </c>
      <c r="J1321">
        <v>20</v>
      </c>
      <c r="L1321">
        <v>80</v>
      </c>
      <c r="M1321">
        <v>4.9</v>
      </c>
      <c r="N1321">
        <v>136</v>
      </c>
      <c r="O1321">
        <v>11</v>
      </c>
      <c r="P1321">
        <v>15</v>
      </c>
      <c r="S1321">
        <v>1.5</v>
      </c>
      <c r="T1321">
        <v>2.5</v>
      </c>
      <c r="U1321">
        <v>53</v>
      </c>
      <c r="V1321">
        <v>112</v>
      </c>
      <c r="W1321">
        <v>5697</v>
      </c>
      <c r="X1321">
        <v>20</v>
      </c>
      <c r="Y1321" t="s">
        <v>681</v>
      </c>
    </row>
    <row r="1322" spans="1:25">
      <c r="A1322" t="s">
        <v>2221</v>
      </c>
      <c r="B1322" s="2" t="str">
        <f>Hyperlink("https://www.diodes.com/datasheet/download/DMPH4016SPSW.pdf")</f>
        <v>https://www.diodes.com/datasheet/download/DMPH4016SPSW.pdf</v>
      </c>
      <c r="C1322" t="str">
        <f>Hyperlink("https://www.diodes.com/part/view/DMPH4016SPSW","DMPH4016SPSW")</f>
        <v>DMPH4016SPSW</v>
      </c>
      <c r="D1322" t="s">
        <v>2198</v>
      </c>
      <c r="E1322" t="s">
        <v>30</v>
      </c>
      <c r="F1322" t="s">
        <v>28</v>
      </c>
      <c r="G1322" t="s">
        <v>75</v>
      </c>
      <c r="H1322" t="s">
        <v>30</v>
      </c>
      <c r="I1322">
        <v>40</v>
      </c>
      <c r="J1322">
        <v>20</v>
      </c>
      <c r="L1322">
        <v>90.7</v>
      </c>
      <c r="M1322">
        <v>4.6</v>
      </c>
      <c r="N1322">
        <v>143</v>
      </c>
      <c r="O1322">
        <v>10</v>
      </c>
      <c r="P1322">
        <v>14</v>
      </c>
      <c r="S1322">
        <v>1.5</v>
      </c>
      <c r="T1322">
        <v>2.5</v>
      </c>
      <c r="U1322">
        <v>53</v>
      </c>
      <c r="V1322">
        <v>112</v>
      </c>
      <c r="W1322">
        <v>5697</v>
      </c>
      <c r="X1322">
        <v>20</v>
      </c>
      <c r="Y1322" t="s">
        <v>1546</v>
      </c>
    </row>
    <row r="1323" spans="1:25">
      <c r="A1323" t="s">
        <v>2222</v>
      </c>
      <c r="B1323" s="2" t="str">
        <f>Hyperlink("https://www.diodes.com/datasheet/download/DMPH4016SPSWQ.pdf")</f>
        <v>https://www.diodes.com/datasheet/download/DMPH4016SPSWQ.pdf</v>
      </c>
      <c r="C1323" t="str">
        <f>Hyperlink("https://www.diodes.com/part/view/DMPH4016SPSWQ","DMPH4016SPSWQ")</f>
        <v>DMPH4016SPSWQ</v>
      </c>
      <c r="D1323" t="s">
        <v>2202</v>
      </c>
      <c r="E1323" t="s">
        <v>27</v>
      </c>
      <c r="F1323" t="s">
        <v>37</v>
      </c>
      <c r="G1323" t="s">
        <v>75</v>
      </c>
      <c r="H1323" t="s">
        <v>30</v>
      </c>
      <c r="I1323">
        <v>40</v>
      </c>
      <c r="J1323">
        <v>20</v>
      </c>
      <c r="L1323">
        <v>90.7</v>
      </c>
      <c r="M1323">
        <v>4.6</v>
      </c>
      <c r="N1323">
        <v>143</v>
      </c>
      <c r="O1323">
        <v>10</v>
      </c>
      <c r="P1323">
        <v>14</v>
      </c>
      <c r="S1323">
        <v>1.5</v>
      </c>
      <c r="T1323">
        <v>2.5</v>
      </c>
      <c r="U1323">
        <v>53</v>
      </c>
      <c r="V1323">
        <v>112</v>
      </c>
      <c r="W1323">
        <v>5697</v>
      </c>
      <c r="X1323">
        <v>20</v>
      </c>
      <c r="Y1323" t="s">
        <v>1546</v>
      </c>
    </row>
    <row r="1324" spans="1:25">
      <c r="A1324" t="s">
        <v>2223</v>
      </c>
      <c r="B1324" s="2" t="str">
        <f>Hyperlink("https://www.diodes.com/datasheet/download/DMPH4016SSS.pdf")</f>
        <v>https://www.diodes.com/datasheet/download/DMPH4016SSS.pdf</v>
      </c>
      <c r="C1324" t="str">
        <f>Hyperlink("https://www.diodes.com/part/view/DMPH4016SSS","DMPH4016SSS")</f>
        <v>DMPH4016SSS</v>
      </c>
      <c r="D1324" t="s">
        <v>2198</v>
      </c>
      <c r="E1324" t="s">
        <v>30</v>
      </c>
      <c r="F1324" t="s">
        <v>28</v>
      </c>
      <c r="G1324" t="s">
        <v>75</v>
      </c>
      <c r="H1324" t="s">
        <v>30</v>
      </c>
      <c r="I1324">
        <v>40</v>
      </c>
      <c r="J1324">
        <v>20</v>
      </c>
      <c r="K1324">
        <v>11</v>
      </c>
      <c r="M1324">
        <v>2.5</v>
      </c>
      <c r="O1324">
        <v>11</v>
      </c>
      <c r="P1324">
        <v>15</v>
      </c>
      <c r="S1324">
        <v>1.5</v>
      </c>
      <c r="T1324">
        <v>2.5</v>
      </c>
      <c r="U1324">
        <v>53</v>
      </c>
      <c r="V1324">
        <v>112</v>
      </c>
      <c r="W1324">
        <v>5697</v>
      </c>
      <c r="X1324">
        <v>20</v>
      </c>
      <c r="Y1324" t="s">
        <v>213</v>
      </c>
    </row>
    <row r="1325" spans="1:25">
      <c r="A1325" t="s">
        <v>2224</v>
      </c>
      <c r="B1325" s="2" t="str">
        <f>Hyperlink("https://www.diodes.com/datasheet/download/DMPH4016SSSQ.pdf")</f>
        <v>https://www.diodes.com/datasheet/download/DMPH4016SSSQ.pdf</v>
      </c>
      <c r="C1325" t="str">
        <f>Hyperlink("https://www.diodes.com/part/view/DMPH4016SSSQ","DMPH4016SSSQ")</f>
        <v>DMPH4016SSSQ</v>
      </c>
      <c r="D1325" t="s">
        <v>2202</v>
      </c>
      <c r="E1325" t="s">
        <v>27</v>
      </c>
      <c r="F1325" t="s">
        <v>37</v>
      </c>
      <c r="G1325" t="s">
        <v>75</v>
      </c>
      <c r="H1325" t="s">
        <v>30</v>
      </c>
      <c r="I1325">
        <v>40</v>
      </c>
      <c r="J1325">
        <v>20</v>
      </c>
      <c r="K1325">
        <v>11</v>
      </c>
      <c r="M1325">
        <v>2.5</v>
      </c>
      <c r="O1325">
        <v>11</v>
      </c>
      <c r="P1325">
        <v>15</v>
      </c>
      <c r="S1325">
        <v>1.5</v>
      </c>
      <c r="T1325">
        <v>2.5</v>
      </c>
      <c r="U1325">
        <v>53</v>
      </c>
      <c r="V1325">
        <v>112</v>
      </c>
      <c r="W1325">
        <v>5697</v>
      </c>
      <c r="X1325">
        <v>20</v>
      </c>
      <c r="Y1325" t="s">
        <v>213</v>
      </c>
    </row>
    <row r="1326" spans="1:25">
      <c r="A1326" t="s">
        <v>2225</v>
      </c>
      <c r="B1326" s="2" t="str">
        <f>Hyperlink("https://www.diodes.com/datasheet/download/DMPH4023SK3.pdf")</f>
        <v>https://www.diodes.com/datasheet/download/DMPH4023SK3.pdf</v>
      </c>
      <c r="C1326" t="str">
        <f>Hyperlink("https://www.diodes.com/part/view/DMPH4023SK3","DMPH4023SK3")</f>
        <v>DMPH4023SK3</v>
      </c>
      <c r="D1326" t="s">
        <v>2226</v>
      </c>
      <c r="E1326" t="s">
        <v>27</v>
      </c>
      <c r="F1326" t="s">
        <v>28</v>
      </c>
      <c r="G1326" t="s">
        <v>75</v>
      </c>
      <c r="H1326" t="s">
        <v>30</v>
      </c>
      <c r="I1326">
        <v>40</v>
      </c>
      <c r="J1326">
        <v>20</v>
      </c>
      <c r="L1326">
        <v>50</v>
      </c>
      <c r="M1326">
        <v>3.6</v>
      </c>
      <c r="O1326">
        <v>26</v>
      </c>
      <c r="T1326">
        <v>3</v>
      </c>
      <c r="V1326">
        <v>18.7</v>
      </c>
      <c r="W1326">
        <v>1091</v>
      </c>
      <c r="X1326">
        <v>20</v>
      </c>
      <c r="Y1326" t="s">
        <v>681</v>
      </c>
    </row>
    <row r="1327" spans="1:25">
      <c r="A1327" t="s">
        <v>2227</v>
      </c>
      <c r="B1327" s="2" t="str">
        <f>Hyperlink("https://www.diodes.com/datasheet/download/DMPH4023SK3Q.pdf")</f>
        <v>https://www.diodes.com/datasheet/download/DMPH4023SK3Q.pdf</v>
      </c>
      <c r="C1327" t="str">
        <f>Hyperlink("https://www.diodes.com/part/view/DMPH4023SK3Q","DMPH4023SK3Q")</f>
        <v>DMPH4023SK3Q</v>
      </c>
      <c r="D1327" t="s">
        <v>2226</v>
      </c>
      <c r="E1327" t="s">
        <v>27</v>
      </c>
      <c r="F1327" t="s">
        <v>37</v>
      </c>
      <c r="G1327" t="s">
        <v>75</v>
      </c>
      <c r="H1327" t="s">
        <v>30</v>
      </c>
      <c r="I1327">
        <v>40</v>
      </c>
      <c r="J1327">
        <v>20</v>
      </c>
      <c r="L1327">
        <v>50</v>
      </c>
      <c r="M1327">
        <v>3.6</v>
      </c>
      <c r="O1327">
        <v>26</v>
      </c>
      <c r="T1327">
        <v>3</v>
      </c>
      <c r="V1327">
        <v>18.7</v>
      </c>
      <c r="W1327">
        <v>1091</v>
      </c>
      <c r="X1327">
        <v>20</v>
      </c>
      <c r="Y1327" t="s">
        <v>681</v>
      </c>
    </row>
    <row r="1328" spans="1:25">
      <c r="A1328" t="s">
        <v>2228</v>
      </c>
      <c r="B1328" s="2" t="str">
        <f>Hyperlink("https://www.diodes.com/datasheet/download/DMPH4023SPDWQ.pdf")</f>
        <v>https://www.diodes.com/datasheet/download/DMPH4023SPDWQ.pdf</v>
      </c>
      <c r="C1328" t="str">
        <f>Hyperlink("https://www.diodes.com/part/view/DMPH4023SPDWQ","DMPH4023SPDWQ")</f>
        <v>DMPH4023SPDWQ</v>
      </c>
      <c r="D1328" t="s">
        <v>2229</v>
      </c>
      <c r="E1328" t="s">
        <v>27</v>
      </c>
      <c r="F1328" t="s">
        <v>37</v>
      </c>
      <c r="G1328" t="s">
        <v>124</v>
      </c>
      <c r="H1328" t="s">
        <v>30</v>
      </c>
      <c r="I1328">
        <v>40</v>
      </c>
      <c r="J1328">
        <v>20</v>
      </c>
      <c r="L1328">
        <v>27</v>
      </c>
      <c r="M1328">
        <v>3.1</v>
      </c>
      <c r="O1328">
        <v>26</v>
      </c>
      <c r="S1328">
        <v>1</v>
      </c>
      <c r="T1328">
        <v>3</v>
      </c>
      <c r="V1328">
        <v>18.7</v>
      </c>
      <c r="W1328">
        <v>1091</v>
      </c>
      <c r="X1328">
        <v>20</v>
      </c>
      <c r="Y1328" t="s">
        <v>168</v>
      </c>
    </row>
    <row r="1329" spans="1:25">
      <c r="A1329" t="s">
        <v>2230</v>
      </c>
      <c r="B1329" s="2" t="str">
        <f>Hyperlink("https://www.diodes.com/datasheet/download/DMPH4025SFVWQ.pdf")</f>
        <v>https://www.diodes.com/datasheet/download/DMPH4025SFVWQ.pdf</v>
      </c>
      <c r="C1329" t="str">
        <f>Hyperlink("https://www.diodes.com/part/view/DMPH4025SFVWQ","DMPH4025SFVWQ")</f>
        <v>DMPH4025SFVWQ</v>
      </c>
      <c r="D1329" t="s">
        <v>2226</v>
      </c>
      <c r="E1329" t="s">
        <v>27</v>
      </c>
      <c r="F1329" t="s">
        <v>37</v>
      </c>
      <c r="G1329" t="s">
        <v>75</v>
      </c>
      <c r="H1329" t="s">
        <v>30</v>
      </c>
      <c r="I1329">
        <v>40</v>
      </c>
      <c r="J1329">
        <v>20</v>
      </c>
      <c r="K1329">
        <v>8.7</v>
      </c>
      <c r="M1329">
        <v>2.3</v>
      </c>
      <c r="O1329">
        <v>25</v>
      </c>
      <c r="P1329">
        <v>45</v>
      </c>
      <c r="T1329">
        <v>1.8</v>
      </c>
      <c r="U1329">
        <v>19.6</v>
      </c>
      <c r="V1329">
        <v>38.6</v>
      </c>
      <c r="X1329">
        <v>20</v>
      </c>
      <c r="Y1329" t="s">
        <v>1109</v>
      </c>
    </row>
    <row r="1330" spans="1:25">
      <c r="A1330" t="s">
        <v>2231</v>
      </c>
      <c r="B1330" s="2" t="str">
        <f>Hyperlink("https://www.diodes.com/datasheet/download/DMPH4026SFVW.pdf")</f>
        <v>https://www.diodes.com/datasheet/download/DMPH4026SFVW.pdf</v>
      </c>
      <c r="C1330" t="str">
        <f>Hyperlink("https://www.diodes.com/part/view/DMPH4026SFVW","DMPH4026SFVW")</f>
        <v>DMPH4026SFVW</v>
      </c>
      <c r="D1330" t="s">
        <v>2198</v>
      </c>
      <c r="E1330" t="s">
        <v>30</v>
      </c>
      <c r="F1330" t="s">
        <v>28</v>
      </c>
      <c r="G1330" t="s">
        <v>75</v>
      </c>
      <c r="H1330" t="s">
        <v>30</v>
      </c>
      <c r="I1330">
        <v>40</v>
      </c>
      <c r="J1330">
        <v>20</v>
      </c>
      <c r="K1330">
        <v>9.3</v>
      </c>
      <c r="L1330">
        <v>52</v>
      </c>
      <c r="M1330">
        <v>3.9</v>
      </c>
      <c r="O1330">
        <v>25</v>
      </c>
      <c r="P1330">
        <v>45</v>
      </c>
      <c r="S1330">
        <v>0.8</v>
      </c>
      <c r="T1330">
        <v>1.8</v>
      </c>
      <c r="U1330">
        <v>23.5</v>
      </c>
      <c r="V1330">
        <v>45.8</v>
      </c>
      <c r="W1330">
        <v>2064</v>
      </c>
      <c r="X1330">
        <v>20</v>
      </c>
      <c r="Y1330" t="s">
        <v>1109</v>
      </c>
    </row>
    <row r="1331" spans="1:25">
      <c r="A1331" t="s">
        <v>2232</v>
      </c>
      <c r="B1331" s="2" t="str">
        <f>Hyperlink("https://www.diodes.com/datasheet/download/DMPH4026SFVWQ.pdf")</f>
        <v>https://www.diodes.com/datasheet/download/DMPH4026SFVWQ.pdf</v>
      </c>
      <c r="C1331" t="str">
        <f>Hyperlink("https://www.diodes.com/part/view/DMPH4026SFVWQ","DMPH4026SFVWQ")</f>
        <v>DMPH4026SFVWQ</v>
      </c>
      <c r="D1331" t="s">
        <v>2198</v>
      </c>
      <c r="E1331" t="s">
        <v>27</v>
      </c>
      <c r="F1331" t="s">
        <v>37</v>
      </c>
      <c r="G1331" t="s">
        <v>75</v>
      </c>
      <c r="H1331" t="s">
        <v>30</v>
      </c>
      <c r="I1331">
        <v>40</v>
      </c>
      <c r="J1331">
        <v>20</v>
      </c>
      <c r="K1331">
        <v>9.3</v>
      </c>
      <c r="L1331">
        <v>52</v>
      </c>
      <c r="M1331">
        <v>3.9</v>
      </c>
      <c r="O1331">
        <v>25</v>
      </c>
      <c r="P1331">
        <v>45</v>
      </c>
      <c r="S1331">
        <v>0.8</v>
      </c>
      <c r="T1331">
        <v>1.8</v>
      </c>
      <c r="U1331">
        <v>23.5</v>
      </c>
      <c r="V1331">
        <v>45.8</v>
      </c>
      <c r="W1331">
        <v>2064</v>
      </c>
      <c r="X1331">
        <v>20</v>
      </c>
      <c r="Y1331" t="s">
        <v>1109</v>
      </c>
    </row>
    <row r="1332" spans="1:25">
      <c r="A1332" t="s">
        <v>2233</v>
      </c>
      <c r="B1332" s="2" t="str">
        <f>Hyperlink("https://www.diodes.com/datasheet/download/DMPH4029LFG.pdf")</f>
        <v>https://www.diodes.com/datasheet/download/DMPH4029LFG.pdf</v>
      </c>
      <c r="C1332" t="str">
        <f>Hyperlink("https://www.diodes.com/part/view/DMPH4029LFG","DMPH4029LFG")</f>
        <v>DMPH4029LFG</v>
      </c>
      <c r="D1332" t="s">
        <v>2226</v>
      </c>
      <c r="E1332" t="s">
        <v>27</v>
      </c>
      <c r="F1332" t="s">
        <v>28</v>
      </c>
      <c r="G1332" t="s">
        <v>75</v>
      </c>
      <c r="H1332" t="s">
        <v>30</v>
      </c>
      <c r="I1332">
        <v>40</v>
      </c>
      <c r="J1332">
        <v>20</v>
      </c>
      <c r="K1332">
        <v>8</v>
      </c>
      <c r="M1332">
        <v>2.8</v>
      </c>
      <c r="O1332">
        <v>29</v>
      </c>
      <c r="P1332">
        <v>45</v>
      </c>
      <c r="T1332">
        <v>3</v>
      </c>
      <c r="U1332">
        <v>17</v>
      </c>
      <c r="V1332">
        <v>34</v>
      </c>
      <c r="W1332">
        <v>1626</v>
      </c>
      <c r="X1332">
        <v>20</v>
      </c>
      <c r="Y1332" t="s">
        <v>718</v>
      </c>
    </row>
    <row r="1333" spans="1:25">
      <c r="A1333" t="s">
        <v>2234</v>
      </c>
      <c r="B1333" s="2" t="str">
        <f>Hyperlink("https://www.diodes.com/datasheet/download/DMPH4029LFGQ.pdf")</f>
        <v>https://www.diodes.com/datasheet/download/DMPH4029LFGQ.pdf</v>
      </c>
      <c r="C1333" t="str">
        <f>Hyperlink("https://www.diodes.com/part/view/DMPH4029LFGQ","DMPH4029LFGQ")</f>
        <v>DMPH4029LFGQ</v>
      </c>
      <c r="D1333" t="s">
        <v>2226</v>
      </c>
      <c r="E1333" t="s">
        <v>27</v>
      </c>
      <c r="F1333" t="s">
        <v>37</v>
      </c>
      <c r="G1333" t="s">
        <v>75</v>
      </c>
      <c r="H1333" t="s">
        <v>30</v>
      </c>
      <c r="I1333">
        <v>40</v>
      </c>
      <c r="J1333">
        <v>20</v>
      </c>
      <c r="K1333">
        <v>8</v>
      </c>
      <c r="M1333">
        <v>2.8</v>
      </c>
      <c r="O1333">
        <v>29</v>
      </c>
      <c r="P1333">
        <v>45</v>
      </c>
      <c r="T1333">
        <v>3</v>
      </c>
      <c r="U1333">
        <v>17</v>
      </c>
      <c r="V1333">
        <v>34</v>
      </c>
      <c r="X1333">
        <v>20</v>
      </c>
      <c r="Y1333" t="s">
        <v>718</v>
      </c>
    </row>
    <row r="1334" spans="1:25">
      <c r="A1334" t="s">
        <v>2235</v>
      </c>
      <c r="B1334" s="2" t="str">
        <f>Hyperlink("https://www.diodes.com/datasheet/download/DMPH6023SK3.pdf")</f>
        <v>https://www.diodes.com/datasheet/download/DMPH6023SK3.pdf</v>
      </c>
      <c r="C1334" t="str">
        <f>Hyperlink("https://www.diodes.com/part/view/DMPH6023SK3","DMPH6023SK3")</f>
        <v>DMPH6023SK3</v>
      </c>
      <c r="D1334" t="s">
        <v>74</v>
      </c>
      <c r="E1334" t="s">
        <v>27</v>
      </c>
      <c r="F1334" t="s">
        <v>28</v>
      </c>
      <c r="G1334" t="s">
        <v>75</v>
      </c>
      <c r="H1334" t="s">
        <v>30</v>
      </c>
      <c r="I1334">
        <v>60</v>
      </c>
      <c r="J1334">
        <v>20</v>
      </c>
      <c r="K1334">
        <v>7.3</v>
      </c>
      <c r="M1334">
        <v>3.2</v>
      </c>
      <c r="O1334">
        <v>33</v>
      </c>
      <c r="P1334">
        <v>40</v>
      </c>
      <c r="T1334">
        <v>3</v>
      </c>
      <c r="U1334">
        <v>26.5</v>
      </c>
      <c r="V1334">
        <v>53.1</v>
      </c>
      <c r="W1334">
        <v>2569</v>
      </c>
      <c r="X1334">
        <v>30</v>
      </c>
      <c r="Y1334" t="s">
        <v>681</v>
      </c>
    </row>
    <row r="1335" spans="1:25">
      <c r="A1335" t="s">
        <v>2236</v>
      </c>
      <c r="B1335" s="2" t="str">
        <f>Hyperlink("https://www.diodes.com/datasheet/download/DMPH6023SK3Q.pdf")</f>
        <v>https://www.diodes.com/datasheet/download/DMPH6023SK3Q.pdf</v>
      </c>
      <c r="C1335" t="str">
        <f>Hyperlink("https://www.diodes.com/part/view/DMPH6023SK3Q","DMPH6023SK3Q")</f>
        <v>DMPH6023SK3Q</v>
      </c>
      <c r="D1335" t="s">
        <v>2237</v>
      </c>
      <c r="E1335" t="s">
        <v>27</v>
      </c>
      <c r="F1335" t="s">
        <v>37</v>
      </c>
      <c r="G1335" t="s">
        <v>75</v>
      </c>
      <c r="H1335" t="s">
        <v>30</v>
      </c>
      <c r="I1335">
        <v>60</v>
      </c>
      <c r="J1335">
        <v>20</v>
      </c>
      <c r="K1335">
        <v>7.3</v>
      </c>
      <c r="M1335">
        <v>3.2</v>
      </c>
      <c r="O1335">
        <v>33</v>
      </c>
      <c r="P1335">
        <v>40</v>
      </c>
      <c r="T1335">
        <v>3</v>
      </c>
      <c r="U1335">
        <v>26.5</v>
      </c>
      <c r="V1335">
        <v>53.1</v>
      </c>
      <c r="X1335">
        <v>30</v>
      </c>
      <c r="Y1335" t="s">
        <v>681</v>
      </c>
    </row>
    <row r="1336" spans="1:25">
      <c r="A1336" t="s">
        <v>2238</v>
      </c>
      <c r="B1336" s="2" t="str">
        <f>Hyperlink("https://www.diodes.com/datasheet/download/DMPH6050SFGQ.pdf")</f>
        <v>https://www.diodes.com/datasheet/download/DMPH6050SFGQ.pdf</v>
      </c>
      <c r="C1336" t="str">
        <f>Hyperlink("https://www.diodes.com/part/view/DMPH6050SFGQ","DMPH6050SFGQ")</f>
        <v>DMPH6050SFGQ</v>
      </c>
      <c r="D1336" t="s">
        <v>2239</v>
      </c>
      <c r="E1336" t="s">
        <v>27</v>
      </c>
      <c r="F1336" t="s">
        <v>37</v>
      </c>
      <c r="G1336" t="s">
        <v>75</v>
      </c>
      <c r="H1336" t="s">
        <v>30</v>
      </c>
      <c r="I1336">
        <v>60</v>
      </c>
      <c r="J1336">
        <v>20</v>
      </c>
      <c r="K1336">
        <v>6.1</v>
      </c>
      <c r="M1336">
        <v>2.8</v>
      </c>
      <c r="O1336">
        <v>50</v>
      </c>
      <c r="P1336">
        <v>70</v>
      </c>
      <c r="T1336">
        <v>3</v>
      </c>
      <c r="U1336">
        <v>11.9</v>
      </c>
      <c r="V1336">
        <v>24.1</v>
      </c>
      <c r="X1336">
        <v>30</v>
      </c>
      <c r="Y1336" t="s">
        <v>718</v>
      </c>
    </row>
    <row r="1337" spans="1:25">
      <c r="A1337" t="s">
        <v>2240</v>
      </c>
      <c r="B1337" s="2" t="str">
        <f>Hyperlink("https://www.diodes.com/datasheet/download/DMPH6050SK3.pdf")</f>
        <v>https://www.diodes.com/datasheet/download/DMPH6050SK3.pdf</v>
      </c>
      <c r="C1337" t="str">
        <f>Hyperlink("https://www.diodes.com/part/view/DMPH6050SK3","DMPH6050SK3")</f>
        <v>DMPH6050SK3</v>
      </c>
      <c r="D1337" t="s">
        <v>2237</v>
      </c>
      <c r="E1337" t="s">
        <v>27</v>
      </c>
      <c r="F1337" t="s">
        <v>28</v>
      </c>
      <c r="G1337" t="s">
        <v>75</v>
      </c>
      <c r="H1337" t="s">
        <v>30</v>
      </c>
      <c r="I1337">
        <v>60</v>
      </c>
      <c r="J1337">
        <v>20</v>
      </c>
      <c r="K1337">
        <v>7.2</v>
      </c>
      <c r="M1337">
        <v>3.8</v>
      </c>
      <c r="O1337">
        <v>50</v>
      </c>
      <c r="P1337">
        <v>70</v>
      </c>
      <c r="T1337">
        <v>3</v>
      </c>
      <c r="U1337">
        <v>12</v>
      </c>
      <c r="V1337">
        <v>25</v>
      </c>
      <c r="W1337">
        <v>1377</v>
      </c>
      <c r="X1337">
        <v>30</v>
      </c>
      <c r="Y1337" t="s">
        <v>681</v>
      </c>
    </row>
    <row r="1338" spans="1:25">
      <c r="A1338" t="s">
        <v>2241</v>
      </c>
      <c r="B1338" s="2" t="str">
        <f>Hyperlink("https://www.diodes.com/datasheet/download/DMPH6050SK3Q.pdf")</f>
        <v>https://www.diodes.com/datasheet/download/DMPH6050SK3Q.pdf</v>
      </c>
      <c r="C1338" t="str">
        <f>Hyperlink("https://www.diodes.com/part/view/DMPH6050SK3Q","DMPH6050SK3Q")</f>
        <v>DMPH6050SK3Q</v>
      </c>
      <c r="D1338" t="s">
        <v>2237</v>
      </c>
      <c r="E1338" t="s">
        <v>27</v>
      </c>
      <c r="F1338" t="s">
        <v>37</v>
      </c>
      <c r="G1338" t="s">
        <v>75</v>
      </c>
      <c r="H1338" t="s">
        <v>30</v>
      </c>
      <c r="I1338">
        <v>60</v>
      </c>
      <c r="J1338">
        <v>20</v>
      </c>
      <c r="K1338">
        <v>7.2</v>
      </c>
      <c r="M1338">
        <v>3.8</v>
      </c>
      <c r="O1338">
        <v>50</v>
      </c>
      <c r="P1338">
        <v>70</v>
      </c>
      <c r="T1338">
        <v>3</v>
      </c>
      <c r="U1338">
        <v>12</v>
      </c>
      <c r="V1338">
        <v>25</v>
      </c>
      <c r="X1338">
        <v>30</v>
      </c>
      <c r="Y1338" t="s">
        <v>681</v>
      </c>
    </row>
    <row r="1339" spans="1:25">
      <c r="A1339" t="s">
        <v>2242</v>
      </c>
      <c r="B1339" s="2" t="str">
        <f>Hyperlink("https://www.diodes.com/datasheet/download/DMPH6050SPD.pdf")</f>
        <v>https://www.diodes.com/datasheet/download/DMPH6050SPD.pdf</v>
      </c>
      <c r="C1339" t="str">
        <f>Hyperlink("https://www.diodes.com/part/view/DMPH6050SPD","DMPH6050SPD")</f>
        <v>DMPH6050SPD</v>
      </c>
      <c r="D1339" t="s">
        <v>2243</v>
      </c>
      <c r="E1339" t="s">
        <v>27</v>
      </c>
      <c r="F1339" t="s">
        <v>28</v>
      </c>
      <c r="G1339" t="s">
        <v>124</v>
      </c>
      <c r="H1339" t="s">
        <v>30</v>
      </c>
      <c r="I1339">
        <v>60</v>
      </c>
      <c r="J1339">
        <v>20</v>
      </c>
      <c r="K1339">
        <v>6.3</v>
      </c>
      <c r="M1339">
        <v>2.8</v>
      </c>
      <c r="O1339">
        <v>48</v>
      </c>
      <c r="P1339">
        <v>60</v>
      </c>
      <c r="T1339">
        <v>3</v>
      </c>
      <c r="U1339">
        <v>14.5</v>
      </c>
      <c r="V1339">
        <v>30.6</v>
      </c>
      <c r="W1339">
        <v>1525</v>
      </c>
      <c r="X1339">
        <v>30</v>
      </c>
      <c r="Y1339" t="s">
        <v>144</v>
      </c>
    </row>
    <row r="1340" spans="1:25">
      <c r="A1340" t="s">
        <v>2244</v>
      </c>
      <c r="B1340" s="2" t="str">
        <f>Hyperlink("https://www.diodes.com/datasheet/download/DMPH6050SPDQ.pdf")</f>
        <v>https://www.diodes.com/datasheet/download/DMPH6050SPDQ.pdf</v>
      </c>
      <c r="C1340" t="str">
        <f>Hyperlink("https://www.diodes.com/part/view/DMPH6050SPDQ","DMPH6050SPDQ")</f>
        <v>DMPH6050SPDQ</v>
      </c>
      <c r="D1340" t="s">
        <v>2245</v>
      </c>
      <c r="E1340" t="s">
        <v>27</v>
      </c>
      <c r="F1340" t="s">
        <v>37</v>
      </c>
      <c r="G1340" t="s">
        <v>124</v>
      </c>
      <c r="H1340" t="s">
        <v>30</v>
      </c>
      <c r="I1340">
        <v>60</v>
      </c>
      <c r="J1340">
        <v>20</v>
      </c>
      <c r="K1340">
        <v>6.3</v>
      </c>
      <c r="M1340">
        <v>2.8</v>
      </c>
      <c r="O1340">
        <v>48</v>
      </c>
      <c r="P1340">
        <v>60</v>
      </c>
      <c r="T1340">
        <v>3</v>
      </c>
      <c r="U1340">
        <v>14.5</v>
      </c>
      <c r="V1340">
        <v>30.6</v>
      </c>
      <c r="X1340">
        <v>30</v>
      </c>
      <c r="Y1340" t="s">
        <v>144</v>
      </c>
    </row>
    <row r="1341" spans="1:25">
      <c r="A1341" t="s">
        <v>2246</v>
      </c>
      <c r="B1341" s="2" t="str">
        <f>Hyperlink("https://www.diodes.com/datasheet/download/DMPH6050SPDW.pdf")</f>
        <v>https://www.diodes.com/datasheet/download/DMPH6050SPDW.pdf</v>
      </c>
      <c r="C1341" t="str">
        <f>Hyperlink("https://www.diodes.com/part/view/DMPH6050SPDW","DMPH6050SPDW")</f>
        <v>DMPH6050SPDW</v>
      </c>
      <c r="D1341" t="s">
        <v>2247</v>
      </c>
      <c r="E1341" t="s">
        <v>30</v>
      </c>
      <c r="F1341" t="s">
        <v>28</v>
      </c>
      <c r="G1341" t="s">
        <v>124</v>
      </c>
      <c r="H1341" t="s">
        <v>30</v>
      </c>
      <c r="I1341">
        <v>60</v>
      </c>
      <c r="J1341">
        <v>20</v>
      </c>
      <c r="L1341">
        <v>26</v>
      </c>
      <c r="M1341">
        <v>2.8</v>
      </c>
      <c r="O1341">
        <v>48</v>
      </c>
      <c r="P1341">
        <v>60</v>
      </c>
      <c r="S1341">
        <v>1</v>
      </c>
      <c r="T1341">
        <v>3</v>
      </c>
      <c r="U1341">
        <v>14.5</v>
      </c>
      <c r="V1341">
        <v>30.6</v>
      </c>
      <c r="W1341">
        <v>1525</v>
      </c>
      <c r="X1341">
        <v>30</v>
      </c>
      <c r="Y1341" t="s">
        <v>168</v>
      </c>
    </row>
    <row r="1342" spans="1:25">
      <c r="A1342" t="s">
        <v>2248</v>
      </c>
      <c r="B1342" s="2" t="str">
        <f>Hyperlink("https://www.diodes.com/datasheet/download/DMPH6050SPDWQ.pdf")</f>
        <v>https://www.diodes.com/datasheet/download/DMPH6050SPDWQ.pdf</v>
      </c>
      <c r="C1342" t="str">
        <f>Hyperlink("https://www.diodes.com/part/view/DMPH6050SPDWQ","DMPH6050SPDWQ")</f>
        <v>DMPH6050SPDWQ</v>
      </c>
      <c r="D1342" t="s">
        <v>2247</v>
      </c>
      <c r="E1342" t="s">
        <v>27</v>
      </c>
      <c r="F1342" t="s">
        <v>37</v>
      </c>
      <c r="G1342" t="s">
        <v>124</v>
      </c>
      <c r="H1342" t="s">
        <v>30</v>
      </c>
      <c r="I1342">
        <v>60</v>
      </c>
      <c r="J1342">
        <v>20</v>
      </c>
      <c r="K1342">
        <v>6.3</v>
      </c>
      <c r="L1342">
        <v>26</v>
      </c>
      <c r="M1342">
        <v>2.8</v>
      </c>
      <c r="O1342">
        <v>48</v>
      </c>
      <c r="P1342">
        <v>60</v>
      </c>
      <c r="S1342">
        <v>1</v>
      </c>
      <c r="T1342">
        <v>3</v>
      </c>
      <c r="U1342">
        <v>14.5</v>
      </c>
      <c r="V1342">
        <v>30.6</v>
      </c>
      <c r="W1342">
        <v>1525</v>
      </c>
      <c r="X1342">
        <v>30</v>
      </c>
      <c r="Y1342" t="s">
        <v>168</v>
      </c>
    </row>
    <row r="1343" spans="1:25">
      <c r="A1343" t="s">
        <v>2249</v>
      </c>
      <c r="B1343" s="2" t="str">
        <f>Hyperlink("https://www.diodes.com/datasheet/download/DMPH6050SSD.pdf")</f>
        <v>https://www.diodes.com/datasheet/download/DMPH6050SSD.pdf</v>
      </c>
      <c r="C1343" t="str">
        <f>Hyperlink("https://www.diodes.com/part/view/DMPH6050SSD","DMPH6050SSD")</f>
        <v>DMPH6050SSD</v>
      </c>
      <c r="D1343" t="s">
        <v>2243</v>
      </c>
      <c r="E1343" t="s">
        <v>27</v>
      </c>
      <c r="F1343" t="s">
        <v>28</v>
      </c>
      <c r="G1343" t="s">
        <v>124</v>
      </c>
      <c r="H1343" t="s">
        <v>30</v>
      </c>
      <c r="I1343">
        <v>60</v>
      </c>
      <c r="J1343">
        <v>20</v>
      </c>
      <c r="K1343">
        <v>5.2</v>
      </c>
      <c r="M1343">
        <v>2</v>
      </c>
      <c r="O1343">
        <v>48</v>
      </c>
      <c r="P1343">
        <v>60</v>
      </c>
      <c r="T1343">
        <v>3</v>
      </c>
      <c r="U1343">
        <v>14.5</v>
      </c>
      <c r="V1343">
        <v>30.6</v>
      </c>
      <c r="W1343">
        <v>1525</v>
      </c>
      <c r="X1343">
        <v>30</v>
      </c>
      <c r="Y1343" t="s">
        <v>213</v>
      </c>
    </row>
    <row r="1344" spans="1:25">
      <c r="A1344" t="s">
        <v>2250</v>
      </c>
      <c r="B1344" s="2" t="str">
        <f>Hyperlink("https://www.diodes.com/datasheet/download/DMPH6050SSDQ.pdf")</f>
        <v>https://www.diodes.com/datasheet/download/DMPH6050SSDQ.pdf</v>
      </c>
      <c r="C1344" t="str">
        <f>Hyperlink("https://www.diodes.com/part/view/DMPH6050SSDQ","DMPH6050SSDQ")</f>
        <v>DMPH6050SSDQ</v>
      </c>
      <c r="D1344" t="s">
        <v>2243</v>
      </c>
      <c r="E1344" t="s">
        <v>27</v>
      </c>
      <c r="F1344" t="s">
        <v>37</v>
      </c>
      <c r="G1344" t="s">
        <v>124</v>
      </c>
      <c r="H1344" t="s">
        <v>30</v>
      </c>
      <c r="I1344">
        <v>60</v>
      </c>
      <c r="J1344">
        <v>20</v>
      </c>
      <c r="K1344">
        <v>5.2</v>
      </c>
      <c r="M1344">
        <v>2</v>
      </c>
      <c r="O1344">
        <v>48</v>
      </c>
      <c r="P1344">
        <v>60</v>
      </c>
      <c r="T1344">
        <v>3</v>
      </c>
      <c r="U1344">
        <v>14.5</v>
      </c>
      <c r="V1344">
        <v>30.6</v>
      </c>
      <c r="X1344">
        <v>30</v>
      </c>
      <c r="Y1344" t="s">
        <v>213</v>
      </c>
    </row>
    <row r="1345" spans="1:25">
      <c r="A1345" t="s">
        <v>2251</v>
      </c>
      <c r="B1345" s="2" t="str">
        <f>Hyperlink("https://www.diodes.com/datasheet/download/DMPH6051SFVW.pdf")</f>
        <v>https://www.diodes.com/datasheet/download/DMPH6051SFVW.pdf</v>
      </c>
      <c r="C1345" t="str">
        <f>Hyperlink("https://www.diodes.com/part/view/DMPH6051SFVW","DMPH6051SFVW")</f>
        <v>DMPH6051SFVW</v>
      </c>
      <c r="D1345" t="s">
        <v>2252</v>
      </c>
      <c r="E1345" t="s">
        <v>30</v>
      </c>
      <c r="F1345" t="s">
        <v>28</v>
      </c>
      <c r="G1345" t="s">
        <v>75</v>
      </c>
      <c r="H1345" t="s">
        <v>30</v>
      </c>
      <c r="I1345">
        <v>60</v>
      </c>
      <c r="J1345">
        <v>20</v>
      </c>
      <c r="L1345">
        <v>20.6</v>
      </c>
      <c r="M1345">
        <v>3.2</v>
      </c>
      <c r="N1345">
        <v>51</v>
      </c>
      <c r="O1345">
        <v>60</v>
      </c>
      <c r="P1345">
        <v>80</v>
      </c>
      <c r="S1345">
        <v>1</v>
      </c>
      <c r="T1345">
        <v>3</v>
      </c>
      <c r="U1345">
        <v>17</v>
      </c>
      <c r="V1345">
        <v>36</v>
      </c>
      <c r="W1345">
        <v>2087</v>
      </c>
      <c r="X1345">
        <v>30</v>
      </c>
      <c r="Y1345" t="s">
        <v>1109</v>
      </c>
    </row>
    <row r="1346" spans="1:25">
      <c r="A1346" t="s">
        <v>2253</v>
      </c>
      <c r="B1346" s="2" t="str">
        <f>Hyperlink("https://www.diodes.com/datasheet/download/DMPH6051SFVWQ.pdf")</f>
        <v>https://www.diodes.com/datasheet/download/DMPH6051SFVWQ.pdf</v>
      </c>
      <c r="C1346" t="str">
        <f>Hyperlink("https://www.diodes.com/part/view/DMPH6051SFVWQ","DMPH6051SFVWQ")</f>
        <v>DMPH6051SFVWQ</v>
      </c>
      <c r="D1346" t="s">
        <v>2254</v>
      </c>
      <c r="E1346" t="s">
        <v>27</v>
      </c>
      <c r="F1346" t="s">
        <v>37</v>
      </c>
      <c r="G1346" t="s">
        <v>75</v>
      </c>
      <c r="H1346" t="s">
        <v>30</v>
      </c>
      <c r="I1346">
        <v>60</v>
      </c>
      <c r="J1346">
        <v>20</v>
      </c>
      <c r="L1346">
        <v>20.6</v>
      </c>
      <c r="M1346">
        <v>3.2</v>
      </c>
      <c r="N1346">
        <v>51</v>
      </c>
      <c r="O1346">
        <v>60</v>
      </c>
      <c r="P1346">
        <v>80</v>
      </c>
      <c r="S1346">
        <v>1</v>
      </c>
      <c r="T1346">
        <v>3</v>
      </c>
      <c r="U1346">
        <v>17</v>
      </c>
      <c r="V1346">
        <v>36</v>
      </c>
      <c r="W1346">
        <v>2087</v>
      </c>
      <c r="X1346">
        <v>30</v>
      </c>
      <c r="Y1346" t="s">
        <v>1109</v>
      </c>
    </row>
    <row r="1347" spans="1:25">
      <c r="A1347" t="s">
        <v>2255</v>
      </c>
      <c r="B1347" s="2" t="str">
        <f>Hyperlink("https://www.diodes.com/datasheet/download/DMPH6051SSD.pdf")</f>
        <v>https://www.diodes.com/datasheet/download/DMPH6051SSD.pdf</v>
      </c>
      <c r="C1347" t="str">
        <f>Hyperlink("https://www.diodes.com/part/view/DMPH6051SSD","DMPH6051SSD")</f>
        <v>DMPH6051SSD</v>
      </c>
      <c r="D1347" t="s">
        <v>2138</v>
      </c>
      <c r="E1347" t="s">
        <v>30</v>
      </c>
      <c r="F1347" t="s">
        <v>28</v>
      </c>
      <c r="G1347" t="s">
        <v>124</v>
      </c>
      <c r="H1347" t="s">
        <v>30</v>
      </c>
      <c r="I1347">
        <v>60</v>
      </c>
      <c r="J1347">
        <v>20</v>
      </c>
      <c r="K1347">
        <v>4.1</v>
      </c>
      <c r="M1347">
        <v>1.9</v>
      </c>
      <c r="O1347">
        <v>60</v>
      </c>
      <c r="P1347">
        <v>80</v>
      </c>
      <c r="S1347">
        <v>1</v>
      </c>
      <c r="T1347">
        <v>3</v>
      </c>
      <c r="U1347">
        <v>17</v>
      </c>
      <c r="V1347">
        <v>36</v>
      </c>
      <c r="W1347">
        <v>2079</v>
      </c>
      <c r="X1347">
        <v>30</v>
      </c>
      <c r="Y1347" t="s">
        <v>213</v>
      </c>
    </row>
    <row r="1348" spans="1:25">
      <c r="A1348" t="s">
        <v>2256</v>
      </c>
      <c r="B1348" s="2" t="str">
        <f>Hyperlink("https://www.diodes.com/datasheet/download/DMPH6051SSDQ.pdf")</f>
        <v>https://www.diodes.com/datasheet/download/DMPH6051SSDQ.pdf</v>
      </c>
      <c r="C1348" t="str">
        <f>Hyperlink("https://www.diodes.com/part/view/DMPH6051SSDQ","DMPH6051SSDQ")</f>
        <v>DMPH6051SSDQ</v>
      </c>
      <c r="D1348" t="s">
        <v>2138</v>
      </c>
      <c r="E1348" t="s">
        <v>27</v>
      </c>
      <c r="F1348" t="s">
        <v>37</v>
      </c>
      <c r="G1348" t="s">
        <v>124</v>
      </c>
      <c r="H1348" t="s">
        <v>30</v>
      </c>
      <c r="I1348">
        <v>60</v>
      </c>
      <c r="J1348">
        <v>20</v>
      </c>
      <c r="K1348">
        <v>4.1</v>
      </c>
      <c r="M1348">
        <v>1.9</v>
      </c>
      <c r="O1348">
        <v>60</v>
      </c>
      <c r="P1348">
        <v>80</v>
      </c>
      <c r="S1348">
        <v>1</v>
      </c>
      <c r="T1348">
        <v>3</v>
      </c>
      <c r="U1348">
        <v>17</v>
      </c>
      <c r="V1348">
        <v>36</v>
      </c>
      <c r="W1348">
        <v>2079</v>
      </c>
      <c r="X1348">
        <v>30</v>
      </c>
      <c r="Y1348" t="s">
        <v>213</v>
      </c>
    </row>
    <row r="1349" spans="1:25">
      <c r="A1349" t="s">
        <v>2257</v>
      </c>
      <c r="B1349" s="2" t="str">
        <f>Hyperlink("https://www.diodes.com/datasheet/download/DMPH6051SSS.pdf")</f>
        <v>https://www.diodes.com/datasheet/download/DMPH6051SSS.pdf</v>
      </c>
      <c r="C1349" t="str">
        <f>Hyperlink("https://www.diodes.com/part/view/DMPH6051SSS","DMPH6051SSS")</f>
        <v>DMPH6051SSS</v>
      </c>
      <c r="D1349" t="s">
        <v>2252</v>
      </c>
      <c r="E1349" t="s">
        <v>27</v>
      </c>
      <c r="F1349" t="s">
        <v>28</v>
      </c>
      <c r="G1349" t="s">
        <v>75</v>
      </c>
      <c r="H1349" t="s">
        <v>30</v>
      </c>
      <c r="I1349">
        <v>60</v>
      </c>
      <c r="J1349">
        <v>20</v>
      </c>
      <c r="K1349">
        <v>4.4</v>
      </c>
      <c r="M1349">
        <v>2.4</v>
      </c>
      <c r="O1349">
        <v>60</v>
      </c>
      <c r="P1349">
        <v>80</v>
      </c>
      <c r="S1349">
        <v>1</v>
      </c>
      <c r="T1349">
        <v>3</v>
      </c>
      <c r="U1349">
        <v>17</v>
      </c>
      <c r="V1349">
        <v>36</v>
      </c>
      <c r="W1349">
        <v>2079</v>
      </c>
      <c r="X1349">
        <v>30</v>
      </c>
      <c r="Y1349" t="s">
        <v>213</v>
      </c>
    </row>
    <row r="1350" spans="1:25">
      <c r="A1350" t="s">
        <v>2258</v>
      </c>
      <c r="B1350" s="2" t="str">
        <f>Hyperlink("https://www.diodes.com/datasheet/download/DMPH6051SSSQ.pdf")</f>
        <v>https://www.diodes.com/datasheet/download/DMPH6051SSSQ.pdf</v>
      </c>
      <c r="C1350" t="str">
        <f>Hyperlink("https://www.diodes.com/part/view/DMPH6051SSSQ","DMPH6051SSSQ")</f>
        <v>DMPH6051SSSQ</v>
      </c>
      <c r="D1350" t="s">
        <v>2216</v>
      </c>
      <c r="E1350" t="s">
        <v>27</v>
      </c>
      <c r="F1350" t="s">
        <v>37</v>
      </c>
      <c r="G1350" t="s">
        <v>75</v>
      </c>
      <c r="H1350" t="s">
        <v>30</v>
      </c>
      <c r="I1350">
        <v>60</v>
      </c>
      <c r="J1350">
        <v>20</v>
      </c>
      <c r="K1350">
        <v>4.4</v>
      </c>
      <c r="M1350">
        <v>2.4</v>
      </c>
      <c r="O1350">
        <v>60</v>
      </c>
      <c r="P1350">
        <v>80</v>
      </c>
      <c r="S1350">
        <v>1</v>
      </c>
      <c r="T1350">
        <v>3</v>
      </c>
      <c r="U1350">
        <v>17</v>
      </c>
      <c r="V1350">
        <v>36</v>
      </c>
      <c r="W1350">
        <v>2079</v>
      </c>
      <c r="X1350">
        <v>30</v>
      </c>
      <c r="Y1350" t="s">
        <v>213</v>
      </c>
    </row>
    <row r="1351" spans="1:25">
      <c r="A1351" t="s">
        <v>2259</v>
      </c>
      <c r="B1351" s="2" t="str">
        <f>Hyperlink("https://www.diodes.com/datasheet/download/DMPH6250S.pdf")</f>
        <v>https://www.diodes.com/datasheet/download/DMPH6250S.pdf</v>
      </c>
      <c r="C1351" t="str">
        <f>Hyperlink("https://www.diodes.com/part/view/DMPH6250S","DMPH6250S")</f>
        <v>DMPH6250S</v>
      </c>
      <c r="D1351" t="s">
        <v>2237</v>
      </c>
      <c r="E1351" t="s">
        <v>27</v>
      </c>
      <c r="F1351" t="s">
        <v>28</v>
      </c>
      <c r="G1351" t="s">
        <v>75</v>
      </c>
      <c r="H1351" t="s">
        <v>30</v>
      </c>
      <c r="I1351">
        <v>60</v>
      </c>
      <c r="J1351">
        <v>20</v>
      </c>
      <c r="K1351">
        <v>2.4</v>
      </c>
      <c r="M1351">
        <v>1.62</v>
      </c>
      <c r="O1351">
        <v>155</v>
      </c>
      <c r="P1351">
        <v>240</v>
      </c>
      <c r="T1351">
        <v>3</v>
      </c>
      <c r="U1351">
        <v>4</v>
      </c>
      <c r="V1351">
        <v>8.3</v>
      </c>
      <c r="W1351">
        <v>512</v>
      </c>
      <c r="X1351">
        <v>30</v>
      </c>
      <c r="Y1351" t="s">
        <v>35</v>
      </c>
    </row>
    <row r="1352" spans="1:25">
      <c r="A1352" t="s">
        <v>2260</v>
      </c>
      <c r="B1352" s="2" t="str">
        <f>Hyperlink("https://www.diodes.com/datasheet/download/DMPH6250SQ.pdf")</f>
        <v>https://www.diodes.com/datasheet/download/DMPH6250SQ.pdf</v>
      </c>
      <c r="C1352" t="str">
        <f>Hyperlink("https://www.diodes.com/part/view/DMPH6250SQ","DMPH6250SQ")</f>
        <v>DMPH6250SQ</v>
      </c>
      <c r="D1352" t="s">
        <v>2237</v>
      </c>
      <c r="E1352" t="s">
        <v>27</v>
      </c>
      <c r="F1352" t="s">
        <v>37</v>
      </c>
      <c r="G1352" t="s">
        <v>75</v>
      </c>
      <c r="H1352" t="s">
        <v>30</v>
      </c>
      <c r="I1352">
        <v>60</v>
      </c>
      <c r="J1352">
        <v>20</v>
      </c>
      <c r="K1352">
        <v>2.4</v>
      </c>
      <c r="M1352">
        <v>1.62</v>
      </c>
      <c r="O1352">
        <v>155</v>
      </c>
      <c r="P1352">
        <v>240</v>
      </c>
      <c r="T1352">
        <v>3</v>
      </c>
      <c r="U1352">
        <v>4</v>
      </c>
      <c r="V1352">
        <v>8.3</v>
      </c>
      <c r="X1352">
        <v>30</v>
      </c>
      <c r="Y1352" t="s">
        <v>35</v>
      </c>
    </row>
    <row r="1353" spans="1:25">
      <c r="A1353" t="s">
        <v>2261</v>
      </c>
      <c r="B1353" s="2" t="str">
        <f>Hyperlink("https://www.diodes.com/datasheet/download/DMS2085LSD.pdf")</f>
        <v>https://www.diodes.com/datasheet/download/DMS2085LSD.pdf</v>
      </c>
      <c r="C1353" t="str">
        <f>Hyperlink("https://www.diodes.com/part/view/DMS2085LSD","DMS2085LSD")</f>
        <v>DMS2085LSD</v>
      </c>
      <c r="D1353" t="s">
        <v>2262</v>
      </c>
      <c r="E1353" t="s">
        <v>27</v>
      </c>
      <c r="F1353" t="s">
        <v>28</v>
      </c>
      <c r="G1353" t="s">
        <v>2263</v>
      </c>
      <c r="H1353" t="s">
        <v>30</v>
      </c>
      <c r="I1353">
        <v>20</v>
      </c>
      <c r="J1353">
        <v>20</v>
      </c>
      <c r="K1353">
        <v>3.3</v>
      </c>
      <c r="M1353">
        <v>0.7</v>
      </c>
      <c r="O1353">
        <v>85</v>
      </c>
      <c r="P1353">
        <v>125</v>
      </c>
      <c r="T1353">
        <v>2.2</v>
      </c>
      <c r="U1353">
        <v>3.7</v>
      </c>
      <c r="V1353">
        <v>7.8</v>
      </c>
      <c r="Y1353" t="s">
        <v>213</v>
      </c>
    </row>
    <row r="1354" spans="1:25">
      <c r="A1354" t="s">
        <v>2264</v>
      </c>
      <c r="B1354" s="2" t="str">
        <f>Hyperlink("https://www.diodes.com/datasheet/download/DMS2095LFDB.pdf")</f>
        <v>https://www.diodes.com/datasheet/download/DMS2095LFDB.pdf</v>
      </c>
      <c r="C1354" t="str">
        <f>Hyperlink("https://www.diodes.com/part/view/DMS2095LFDB","DMS2095LFDB")</f>
        <v>DMS2095LFDB</v>
      </c>
      <c r="D1354" t="s">
        <v>2262</v>
      </c>
      <c r="E1354" t="s">
        <v>27</v>
      </c>
      <c r="F1354" t="s">
        <v>28</v>
      </c>
      <c r="G1354" t="s">
        <v>2263</v>
      </c>
      <c r="H1354" t="s">
        <v>30</v>
      </c>
      <c r="I1354">
        <v>20</v>
      </c>
      <c r="J1354">
        <v>12</v>
      </c>
      <c r="K1354">
        <v>3.4</v>
      </c>
      <c r="M1354">
        <v>1.64</v>
      </c>
      <c r="P1354">
        <v>95</v>
      </c>
      <c r="Q1354">
        <v>120</v>
      </c>
      <c r="R1354">
        <v>150</v>
      </c>
      <c r="T1354">
        <v>1.3</v>
      </c>
      <c r="U1354">
        <v>7</v>
      </c>
      <c r="Y1354" t="s">
        <v>179</v>
      </c>
    </row>
    <row r="1355" spans="1:25">
      <c r="A1355" t="s">
        <v>2265</v>
      </c>
      <c r="B1355" s="2" t="str">
        <f>Hyperlink("https://www.diodes.com/datasheet/download/DMS2120LFWB.pdf")</f>
        <v>https://www.diodes.com/datasheet/download/DMS2120LFWB.pdf</v>
      </c>
      <c r="C1355" t="str">
        <f>Hyperlink("https://www.diodes.com/part/view/DMS2120LFWB","DMS2120LFWB")</f>
        <v>DMS2120LFWB</v>
      </c>
      <c r="D1355" t="s">
        <v>2266</v>
      </c>
      <c r="E1355" t="s">
        <v>27</v>
      </c>
      <c r="F1355" t="s">
        <v>28</v>
      </c>
      <c r="G1355" t="s">
        <v>2263</v>
      </c>
      <c r="H1355" t="s">
        <v>27</v>
      </c>
      <c r="I1355">
        <v>20</v>
      </c>
      <c r="J1355">
        <v>12</v>
      </c>
      <c r="K1355">
        <v>2.9</v>
      </c>
      <c r="M1355">
        <v>1.5</v>
      </c>
      <c r="P1355">
        <v>95</v>
      </c>
      <c r="Q1355">
        <v>120</v>
      </c>
      <c r="R1355">
        <v>150</v>
      </c>
      <c r="S1355">
        <v>0.45</v>
      </c>
      <c r="T1355">
        <v>1.3</v>
      </c>
      <c r="W1355">
        <v>632</v>
      </c>
      <c r="X1355">
        <v>10</v>
      </c>
      <c r="Y1355" t="s">
        <v>2267</v>
      </c>
    </row>
    <row r="1356" spans="1:25">
      <c r="A1356" t="s">
        <v>2268</v>
      </c>
      <c r="B1356" s="2" t="str">
        <f>Hyperlink("https://www.diodes.com/datasheet/download/DMS2220LFDB.pdf")</f>
        <v>https://www.diodes.com/datasheet/download/DMS2220LFDB.pdf</v>
      </c>
      <c r="C1356" t="str">
        <f>Hyperlink("https://www.diodes.com/part/view/DMS2220LFDB","DMS2220LFDB")</f>
        <v>DMS2220LFDB</v>
      </c>
      <c r="D1356" t="s">
        <v>2266</v>
      </c>
      <c r="E1356" t="s">
        <v>27</v>
      </c>
      <c r="F1356" t="s">
        <v>28</v>
      </c>
      <c r="G1356" t="s">
        <v>2263</v>
      </c>
      <c r="H1356" t="s">
        <v>27</v>
      </c>
      <c r="I1356">
        <v>20</v>
      </c>
      <c r="J1356">
        <v>12</v>
      </c>
      <c r="K1356">
        <v>3.5</v>
      </c>
      <c r="M1356">
        <v>1.4</v>
      </c>
      <c r="P1356">
        <v>95</v>
      </c>
      <c r="Q1356">
        <v>120</v>
      </c>
      <c r="S1356">
        <v>0.45</v>
      </c>
      <c r="T1356">
        <v>1.3</v>
      </c>
      <c r="W1356">
        <v>632</v>
      </c>
      <c r="X1356">
        <v>10</v>
      </c>
      <c r="Y1356" t="s">
        <v>179</v>
      </c>
    </row>
    <row r="1357" spans="1:25">
      <c r="A1357" t="s">
        <v>2269</v>
      </c>
      <c r="B1357" s="2" t="str">
        <f>Hyperlink("https://www.diodes.com/datasheet/download/DMS3014SFGQ.pdf")</f>
        <v>https://www.diodes.com/datasheet/download/DMS3014SFGQ.pdf</v>
      </c>
      <c r="C1357" t="str">
        <f>Hyperlink("https://www.diodes.com/part/view/DMS3014SFGQ","DMS3014SFGQ")</f>
        <v>DMS3014SFGQ</v>
      </c>
      <c r="D1357" t="s">
        <v>666</v>
      </c>
      <c r="E1357" t="s">
        <v>27</v>
      </c>
      <c r="F1357" t="s">
        <v>37</v>
      </c>
      <c r="G1357" t="s">
        <v>29</v>
      </c>
      <c r="H1357" t="s">
        <v>30</v>
      </c>
      <c r="I1357">
        <v>30</v>
      </c>
      <c r="J1357">
        <v>12</v>
      </c>
      <c r="K1357">
        <v>9</v>
      </c>
      <c r="M1357">
        <v>2.1</v>
      </c>
      <c r="O1357">
        <v>14.5</v>
      </c>
      <c r="P1357">
        <v>15.5</v>
      </c>
      <c r="T1357">
        <v>2.2</v>
      </c>
      <c r="U1357">
        <v>19.3</v>
      </c>
      <c r="V1357">
        <v>45.7</v>
      </c>
      <c r="W1357">
        <v>2296</v>
      </c>
      <c r="X1357">
        <v>15</v>
      </c>
      <c r="Y1357" t="s">
        <v>718</v>
      </c>
    </row>
    <row r="1358" spans="1:25">
      <c r="A1358" t="s">
        <v>2270</v>
      </c>
      <c r="B1358" s="2" t="str">
        <f>Hyperlink("https://www.diodes.com/datasheet/download/DMT10H003SPSW.pdf")</f>
        <v>https://www.diodes.com/datasheet/download/DMT10H003SPSW.pdf</v>
      </c>
      <c r="C1358" t="str">
        <f>Hyperlink("https://www.diodes.com/part/view/DMT10H003SPSW","DMT10H003SPSW")</f>
        <v>DMT10H003SPSW</v>
      </c>
      <c r="D1358" t="s">
        <v>759</v>
      </c>
      <c r="E1358" t="s">
        <v>30</v>
      </c>
      <c r="F1358" t="s">
        <v>28</v>
      </c>
      <c r="G1358" t="s">
        <v>29</v>
      </c>
      <c r="H1358" t="s">
        <v>30</v>
      </c>
      <c r="I1358">
        <v>100</v>
      </c>
      <c r="J1358">
        <v>20</v>
      </c>
      <c r="L1358">
        <v>152</v>
      </c>
      <c r="M1358">
        <v>2.2</v>
      </c>
      <c r="N1358">
        <v>139</v>
      </c>
      <c r="O1358">
        <v>10</v>
      </c>
      <c r="T1358">
        <v>4</v>
      </c>
      <c r="V1358">
        <v>85</v>
      </c>
      <c r="W1358">
        <v>5542</v>
      </c>
      <c r="X1358">
        <v>50</v>
      </c>
      <c r="Y1358" t="s">
        <v>907</v>
      </c>
    </row>
    <row r="1359" spans="1:25">
      <c r="A1359" t="s">
        <v>2271</v>
      </c>
      <c r="B1359" s="2" t="str">
        <f>Hyperlink("https://www.diodes.com/datasheet/download/DMT10H009LCG.pdf")</f>
        <v>https://www.diodes.com/datasheet/download/DMT10H009LCG.pdf</v>
      </c>
      <c r="C1359" t="str">
        <f>Hyperlink("https://www.diodes.com/part/view/DMT10H009LCG","DMT10H009LCG")</f>
        <v>DMT10H009LCG</v>
      </c>
      <c r="D1359" t="s">
        <v>759</v>
      </c>
      <c r="E1359" t="s">
        <v>30</v>
      </c>
      <c r="F1359" t="s">
        <v>28</v>
      </c>
      <c r="G1359" t="s">
        <v>29</v>
      </c>
      <c r="H1359" t="s">
        <v>30</v>
      </c>
      <c r="I1359">
        <v>100</v>
      </c>
      <c r="J1359">
        <v>20</v>
      </c>
      <c r="K1359">
        <v>12.4</v>
      </c>
      <c r="L1359">
        <v>47</v>
      </c>
      <c r="M1359">
        <v>2.1</v>
      </c>
      <c r="O1359">
        <v>8.8</v>
      </c>
      <c r="P1359">
        <v>12.9</v>
      </c>
      <c r="T1359">
        <v>2.5</v>
      </c>
      <c r="U1359">
        <v>20.2</v>
      </c>
      <c r="W1359">
        <v>2309</v>
      </c>
      <c r="X1359">
        <v>50</v>
      </c>
      <c r="Y1359" t="s">
        <v>1881</v>
      </c>
    </row>
    <row r="1360" spans="1:25">
      <c r="A1360" t="s">
        <v>2272</v>
      </c>
      <c r="B1360" s="2" t="str">
        <f>Hyperlink("https://www.diodes.com/datasheet/download/DMT10H009LFG+.pdf")</f>
        <v>https://www.diodes.com/datasheet/download/DMT10H009LFG+.pdf</v>
      </c>
      <c r="C1360" t="str">
        <f>Hyperlink("https://www.diodes.com/part/view/DMT10H009LFG","DMT10H009LFG")</f>
        <v>DMT10H009LFG</v>
      </c>
      <c r="D1360" t="s">
        <v>759</v>
      </c>
      <c r="E1360" t="s">
        <v>30</v>
      </c>
      <c r="F1360" t="s">
        <v>28</v>
      </c>
      <c r="G1360" t="s">
        <v>29</v>
      </c>
      <c r="H1360" t="s">
        <v>30</v>
      </c>
      <c r="I1360">
        <v>100</v>
      </c>
      <c r="J1360">
        <v>20</v>
      </c>
      <c r="K1360">
        <v>13</v>
      </c>
      <c r="L1360">
        <v>50</v>
      </c>
      <c r="M1360">
        <v>2</v>
      </c>
      <c r="N1360">
        <v>30</v>
      </c>
      <c r="O1360">
        <v>8.5</v>
      </c>
      <c r="P1360">
        <v>12.5</v>
      </c>
      <c r="T1360">
        <v>2.5</v>
      </c>
      <c r="V1360">
        <v>41</v>
      </c>
      <c r="W1360">
        <v>2361</v>
      </c>
      <c r="X1360">
        <v>50</v>
      </c>
      <c r="Y1360" t="s">
        <v>718</v>
      </c>
    </row>
    <row r="1361" spans="1:25">
      <c r="A1361" t="s">
        <v>2273</v>
      </c>
      <c r="B1361" s="2" t="str">
        <f>Hyperlink("https://www.diodes.com/datasheet/download/DMT10H009LH3.pdf")</f>
        <v>https://www.diodes.com/datasheet/download/DMT10H009LH3.pdf</v>
      </c>
      <c r="C1361" t="str">
        <f>Hyperlink("https://www.diodes.com/part/view/DMT10H009LH3","DMT10H009LH3")</f>
        <v>DMT10H009LH3</v>
      </c>
      <c r="D1361" t="s">
        <v>759</v>
      </c>
      <c r="E1361" t="s">
        <v>30</v>
      </c>
      <c r="F1361" t="s">
        <v>28</v>
      </c>
      <c r="G1361" t="s">
        <v>29</v>
      </c>
      <c r="H1361" t="s">
        <v>30</v>
      </c>
      <c r="I1361">
        <v>100</v>
      </c>
      <c r="J1361">
        <v>20</v>
      </c>
      <c r="L1361">
        <v>84</v>
      </c>
      <c r="N1361">
        <v>96</v>
      </c>
      <c r="O1361">
        <v>9</v>
      </c>
      <c r="P1361">
        <v>13</v>
      </c>
      <c r="T1361">
        <v>2.5</v>
      </c>
      <c r="U1361">
        <v>20.2</v>
      </c>
      <c r="W1361">
        <v>2309</v>
      </c>
      <c r="X1361">
        <v>50</v>
      </c>
      <c r="Y1361" t="s">
        <v>2274</v>
      </c>
    </row>
    <row r="1362" spans="1:25">
      <c r="A1362" t="s">
        <v>2275</v>
      </c>
      <c r="B1362" s="2" t="str">
        <f>Hyperlink("https://www.diodes.com/datasheet/download/DMT10H009LK3.pdf")</f>
        <v>https://www.diodes.com/datasheet/download/DMT10H009LK3.pdf</v>
      </c>
      <c r="C1362" t="str">
        <f>Hyperlink("https://www.diodes.com/part/view/DMT10H009LK3","DMT10H009LK3")</f>
        <v>DMT10H009LK3</v>
      </c>
      <c r="D1362" t="s">
        <v>759</v>
      </c>
      <c r="E1362" t="s">
        <v>30</v>
      </c>
      <c r="F1362" t="s">
        <v>28</v>
      </c>
      <c r="G1362" t="s">
        <v>29</v>
      </c>
      <c r="H1362" t="s">
        <v>30</v>
      </c>
      <c r="I1362">
        <v>100</v>
      </c>
      <c r="J1362">
        <v>20</v>
      </c>
      <c r="L1362">
        <v>90</v>
      </c>
      <c r="M1362">
        <v>3</v>
      </c>
      <c r="O1362">
        <v>9</v>
      </c>
      <c r="P1362">
        <v>13</v>
      </c>
      <c r="T1362">
        <v>2.5</v>
      </c>
      <c r="U1362">
        <v>20</v>
      </c>
      <c r="W1362">
        <v>2309</v>
      </c>
      <c r="X1362">
        <v>50</v>
      </c>
      <c r="Y1362" t="s">
        <v>681</v>
      </c>
    </row>
    <row r="1363" spans="1:25">
      <c r="A1363" t="s">
        <v>2276</v>
      </c>
      <c r="B1363" s="2" t="str">
        <f>Hyperlink("https://www.diodes.com/datasheet/download/DMT10H009LPS.pdf")</f>
        <v>https://www.diodes.com/datasheet/download/DMT10H009LPS.pdf</v>
      </c>
      <c r="C1363" t="str">
        <f>Hyperlink("https://www.diodes.com/part/view/DMT10H009LPS","DMT10H009LPS")</f>
        <v>DMT10H009LPS</v>
      </c>
      <c r="D1363" t="s">
        <v>759</v>
      </c>
      <c r="E1363" t="s">
        <v>30</v>
      </c>
      <c r="F1363" t="s">
        <v>28</v>
      </c>
      <c r="G1363" t="s">
        <v>29</v>
      </c>
      <c r="H1363" t="s">
        <v>30</v>
      </c>
      <c r="I1363">
        <v>100</v>
      </c>
      <c r="J1363">
        <v>20</v>
      </c>
      <c r="K1363">
        <v>10</v>
      </c>
      <c r="L1363">
        <v>90</v>
      </c>
      <c r="M1363">
        <v>2.9</v>
      </c>
      <c r="N1363">
        <v>104</v>
      </c>
      <c r="O1363">
        <v>8</v>
      </c>
      <c r="P1363">
        <v>12.5</v>
      </c>
      <c r="T1363">
        <v>2.5</v>
      </c>
      <c r="U1363">
        <v>20.2</v>
      </c>
      <c r="V1363">
        <v>40.2</v>
      </c>
      <c r="W1363">
        <v>2309</v>
      </c>
      <c r="X1363">
        <v>50</v>
      </c>
      <c r="Y1363" t="s">
        <v>907</v>
      </c>
    </row>
    <row r="1364" spans="1:25">
      <c r="A1364" t="s">
        <v>2277</v>
      </c>
      <c r="B1364" s="2" t="str">
        <f>Hyperlink("https://www.diodes.com/datasheet/download/DMT10H009LSS.pdf")</f>
        <v>https://www.diodes.com/datasheet/download/DMT10H009LSS.pdf</v>
      </c>
      <c r="C1364" t="str">
        <f>Hyperlink("https://www.diodes.com/part/view/DMT10H009LSS","DMT10H009LSS")</f>
        <v>DMT10H009LSS</v>
      </c>
      <c r="D1364" t="s">
        <v>759</v>
      </c>
      <c r="E1364" t="s">
        <v>30</v>
      </c>
      <c r="F1364" t="s">
        <v>28</v>
      </c>
      <c r="G1364" t="s">
        <v>29</v>
      </c>
      <c r="H1364" t="s">
        <v>30</v>
      </c>
      <c r="I1364">
        <v>100</v>
      </c>
      <c r="J1364">
        <v>20</v>
      </c>
      <c r="K1364">
        <v>13</v>
      </c>
      <c r="L1364">
        <v>48</v>
      </c>
      <c r="M1364">
        <v>2.5</v>
      </c>
      <c r="O1364">
        <v>9</v>
      </c>
      <c r="P1364">
        <v>13.8</v>
      </c>
      <c r="T1364">
        <v>2.5</v>
      </c>
      <c r="U1364">
        <v>20.2</v>
      </c>
      <c r="V1364">
        <v>40.2</v>
      </c>
      <c r="W1364">
        <v>2309</v>
      </c>
      <c r="X1364">
        <v>50</v>
      </c>
      <c r="Y1364" t="s">
        <v>213</v>
      </c>
    </row>
    <row r="1365" spans="1:25">
      <c r="A1365" t="s">
        <v>2278</v>
      </c>
      <c r="B1365" s="2" t="str">
        <f>Hyperlink("https://www.diodes.com/datasheet/download/DMT10H009LSSQ.pdf")</f>
        <v>https://www.diodes.com/datasheet/download/DMT10H009LSSQ.pdf</v>
      </c>
      <c r="C1365" t="str">
        <f>Hyperlink("https://www.diodes.com/part/view/DMT10H009LSSQ","DMT10H009LSSQ")</f>
        <v>DMT10H009LSSQ</v>
      </c>
      <c r="D1365" t="s">
        <v>2279</v>
      </c>
      <c r="E1365" t="s">
        <v>27</v>
      </c>
      <c r="F1365" t="s">
        <v>37</v>
      </c>
      <c r="G1365" t="s">
        <v>29</v>
      </c>
      <c r="H1365" t="s">
        <v>30</v>
      </c>
      <c r="I1365">
        <v>100</v>
      </c>
      <c r="J1365">
        <v>20</v>
      </c>
      <c r="K1365">
        <v>13</v>
      </c>
      <c r="L1365">
        <v>48</v>
      </c>
      <c r="M1365">
        <v>2.5</v>
      </c>
      <c r="O1365">
        <v>9</v>
      </c>
      <c r="P1365">
        <v>13.8</v>
      </c>
      <c r="S1365">
        <v>1.3</v>
      </c>
      <c r="T1365">
        <v>2.5</v>
      </c>
      <c r="U1365">
        <v>20.2</v>
      </c>
      <c r="V1365">
        <v>40.2</v>
      </c>
      <c r="W1365">
        <v>2309</v>
      </c>
      <c r="X1365">
        <v>50</v>
      </c>
      <c r="Y1365" t="s">
        <v>213</v>
      </c>
    </row>
    <row r="1366" spans="1:25">
      <c r="A1366" t="s">
        <v>2280</v>
      </c>
      <c r="B1366" s="2" t="str">
        <f>Hyperlink("https://www.diodes.com/datasheet/download/DMT10H009SCG.pdf")</f>
        <v>https://www.diodes.com/datasheet/download/DMT10H009SCG.pdf</v>
      </c>
      <c r="C1366" t="str">
        <f>Hyperlink("https://www.diodes.com/part/view/DMT10H009SCG","DMT10H009SCG")</f>
        <v>DMT10H009SCG</v>
      </c>
      <c r="D1366" t="s">
        <v>759</v>
      </c>
      <c r="E1366" t="s">
        <v>30</v>
      </c>
      <c r="F1366" t="s">
        <v>28</v>
      </c>
      <c r="G1366" t="s">
        <v>29</v>
      </c>
      <c r="H1366" t="s">
        <v>30</v>
      </c>
      <c r="I1366">
        <v>100</v>
      </c>
      <c r="J1366">
        <v>20</v>
      </c>
      <c r="K1366">
        <v>14</v>
      </c>
      <c r="L1366">
        <v>48</v>
      </c>
      <c r="M1366">
        <v>2.7</v>
      </c>
      <c r="O1366">
        <v>9.5</v>
      </c>
      <c r="T1366">
        <v>4</v>
      </c>
      <c r="V1366">
        <v>30</v>
      </c>
      <c r="W1366">
        <v>2085</v>
      </c>
      <c r="X1366">
        <v>50</v>
      </c>
      <c r="Y1366" t="s">
        <v>1881</v>
      </c>
    </row>
    <row r="1367" spans="1:25">
      <c r="A1367" t="s">
        <v>2281</v>
      </c>
      <c r="B1367" s="2" t="str">
        <f>Hyperlink("https://www.diodes.com/datasheet/download/DMT10H009SK3.pdf")</f>
        <v>https://www.diodes.com/datasheet/download/DMT10H009SK3.pdf</v>
      </c>
      <c r="C1367" t="str">
        <f>Hyperlink("https://www.diodes.com/part/view/DMT10H009SK3","DMT10H009SK3")</f>
        <v>DMT10H009SK3</v>
      </c>
      <c r="D1367" t="s">
        <v>759</v>
      </c>
      <c r="E1367" t="s">
        <v>30</v>
      </c>
      <c r="F1367" t="s">
        <v>28</v>
      </c>
      <c r="G1367" t="s">
        <v>29</v>
      </c>
      <c r="H1367" t="s">
        <v>30</v>
      </c>
      <c r="I1367">
        <v>100</v>
      </c>
      <c r="J1367">
        <v>20</v>
      </c>
      <c r="L1367">
        <v>91</v>
      </c>
      <c r="M1367">
        <v>3.2</v>
      </c>
      <c r="O1367">
        <v>9.1</v>
      </c>
      <c r="T1367">
        <v>4</v>
      </c>
      <c r="V1367">
        <v>34</v>
      </c>
      <c r="W1367">
        <v>2028</v>
      </c>
      <c r="X1367">
        <v>50</v>
      </c>
      <c r="Y1367" t="s">
        <v>681</v>
      </c>
    </row>
    <row r="1368" spans="1:25">
      <c r="A1368" t="s">
        <v>2282</v>
      </c>
      <c r="B1368" s="2" t="str">
        <f>Hyperlink("https://www.diodes.com/datasheet/download/DMT10H009SPS.pdf")</f>
        <v>https://www.diodes.com/datasheet/download/DMT10H009SPS.pdf</v>
      </c>
      <c r="C1368" t="str">
        <f>Hyperlink("https://www.diodes.com/part/view/DMT10H009SPS","DMT10H009SPS")</f>
        <v>DMT10H009SPS</v>
      </c>
      <c r="D1368" t="s">
        <v>759</v>
      </c>
      <c r="E1368" t="s">
        <v>30</v>
      </c>
      <c r="F1368" t="s">
        <v>28</v>
      </c>
      <c r="G1368" t="s">
        <v>29</v>
      </c>
      <c r="H1368" t="s">
        <v>30</v>
      </c>
      <c r="I1368">
        <v>100</v>
      </c>
      <c r="J1368">
        <v>20</v>
      </c>
      <c r="K1368">
        <v>14</v>
      </c>
      <c r="L1368">
        <v>80</v>
      </c>
      <c r="M1368">
        <v>2.7</v>
      </c>
      <c r="N1368">
        <v>83</v>
      </c>
      <c r="O1368">
        <v>8.5</v>
      </c>
      <c r="T1368">
        <v>4</v>
      </c>
      <c r="V1368">
        <v>30</v>
      </c>
      <c r="W1368">
        <v>2085</v>
      </c>
      <c r="X1368">
        <v>50</v>
      </c>
      <c r="Y1368" t="s">
        <v>907</v>
      </c>
    </row>
    <row r="1369" spans="1:25">
      <c r="A1369" t="s">
        <v>2283</v>
      </c>
      <c r="B1369" s="2" t="str">
        <f>Hyperlink("https://www.diodes.com/datasheet/download/DMT10H009SSS.pdf")</f>
        <v>https://www.diodes.com/datasheet/download/DMT10H009SSS.pdf</v>
      </c>
      <c r="C1369" t="str">
        <f>Hyperlink("https://www.diodes.com/part/view/DMT10H009SSS","DMT10H009SSS")</f>
        <v>DMT10H009SSS</v>
      </c>
      <c r="D1369" t="s">
        <v>759</v>
      </c>
      <c r="E1369" t="s">
        <v>30</v>
      </c>
      <c r="F1369" t="s">
        <v>28</v>
      </c>
      <c r="G1369" t="s">
        <v>29</v>
      </c>
      <c r="H1369" t="s">
        <v>30</v>
      </c>
      <c r="I1369">
        <v>100</v>
      </c>
      <c r="J1369">
        <v>20</v>
      </c>
      <c r="K1369">
        <v>12</v>
      </c>
      <c r="L1369">
        <v>42</v>
      </c>
      <c r="M1369">
        <v>2.1</v>
      </c>
      <c r="O1369">
        <v>9.2</v>
      </c>
      <c r="T1369">
        <v>4</v>
      </c>
      <c r="V1369">
        <v>29.8</v>
      </c>
      <c r="W1369">
        <v>2085</v>
      </c>
      <c r="X1369">
        <v>50</v>
      </c>
      <c r="Y1369" t="s">
        <v>213</v>
      </c>
    </row>
    <row r="1370" spans="1:25">
      <c r="A1370" t="s">
        <v>2284</v>
      </c>
      <c r="B1370" s="2" t="str">
        <f>Hyperlink("https://www.diodes.com/datasheet/download/DMT10H010LCT.pdf")</f>
        <v>https://www.diodes.com/datasheet/download/DMT10H010LCT.pdf</v>
      </c>
      <c r="C1370" t="str">
        <f>Hyperlink("https://www.diodes.com/part/view/DMT10H010LCT","DMT10H010LCT")</f>
        <v>DMT10H010LCT</v>
      </c>
      <c r="D1370" t="s">
        <v>759</v>
      </c>
      <c r="E1370" t="s">
        <v>27</v>
      </c>
      <c r="F1370" t="s">
        <v>28</v>
      </c>
      <c r="G1370" t="s">
        <v>29</v>
      </c>
      <c r="H1370" t="s">
        <v>30</v>
      </c>
      <c r="I1370">
        <v>100</v>
      </c>
      <c r="J1370">
        <v>20</v>
      </c>
      <c r="L1370">
        <v>98</v>
      </c>
      <c r="M1370">
        <v>2</v>
      </c>
      <c r="N1370">
        <v>139</v>
      </c>
      <c r="O1370">
        <v>9.5</v>
      </c>
      <c r="P1370">
        <v>20</v>
      </c>
      <c r="T1370">
        <v>3</v>
      </c>
      <c r="V1370">
        <v>58.4</v>
      </c>
      <c r="W1370">
        <v>2592</v>
      </c>
      <c r="X1370">
        <v>50</v>
      </c>
      <c r="Y1370" t="s">
        <v>1535</v>
      </c>
    </row>
    <row r="1371" spans="1:25">
      <c r="A1371" t="s">
        <v>2285</v>
      </c>
      <c r="B1371" s="2" t="str">
        <f>Hyperlink("https://www.diodes.com/datasheet/download/DMT10H010LK3.pdf")</f>
        <v>https://www.diodes.com/datasheet/download/DMT10H010LK3.pdf</v>
      </c>
      <c r="C1371" t="str">
        <f>Hyperlink("https://www.diodes.com/part/view/DMT10H010LK3","DMT10H010LK3")</f>
        <v>DMT10H010LK3</v>
      </c>
      <c r="D1371" t="s">
        <v>759</v>
      </c>
      <c r="E1371" t="s">
        <v>30</v>
      </c>
      <c r="F1371" t="s">
        <v>28</v>
      </c>
      <c r="G1371" t="s">
        <v>29</v>
      </c>
      <c r="H1371" t="s">
        <v>30</v>
      </c>
      <c r="I1371">
        <v>100</v>
      </c>
      <c r="J1371">
        <v>20</v>
      </c>
      <c r="L1371">
        <v>68.8</v>
      </c>
      <c r="M1371">
        <v>3</v>
      </c>
      <c r="N1371">
        <v>62.5</v>
      </c>
      <c r="O1371">
        <v>8.8</v>
      </c>
      <c r="P1371">
        <v>15</v>
      </c>
      <c r="T1371">
        <v>2.8</v>
      </c>
      <c r="V1371">
        <v>53.7</v>
      </c>
      <c r="W1371">
        <v>2592</v>
      </c>
      <c r="X1371">
        <v>50</v>
      </c>
      <c r="Y1371" t="s">
        <v>681</v>
      </c>
    </row>
    <row r="1372" spans="1:25">
      <c r="A1372" t="s">
        <v>2286</v>
      </c>
      <c r="B1372" s="2" t="str">
        <f>Hyperlink("https://www.diodes.com/datasheet/download/DMT10H010LPS.pdf")</f>
        <v>https://www.diodes.com/datasheet/download/DMT10H010LPS.pdf</v>
      </c>
      <c r="C1372" t="str">
        <f>Hyperlink("https://www.diodes.com/part/view/DMT10H010LPS","DMT10H010LPS")</f>
        <v>DMT10H010LPS</v>
      </c>
      <c r="D1372" t="s">
        <v>759</v>
      </c>
      <c r="E1372" t="s">
        <v>27</v>
      </c>
      <c r="F1372" t="s">
        <v>28</v>
      </c>
      <c r="G1372" t="s">
        <v>29</v>
      </c>
      <c r="H1372" t="s">
        <v>30</v>
      </c>
      <c r="I1372">
        <v>100</v>
      </c>
      <c r="J1372">
        <v>20</v>
      </c>
      <c r="K1372">
        <v>14</v>
      </c>
      <c r="L1372">
        <v>98</v>
      </c>
      <c r="M1372">
        <v>3</v>
      </c>
      <c r="N1372">
        <v>139</v>
      </c>
      <c r="O1372">
        <v>8.3</v>
      </c>
      <c r="P1372">
        <v>20</v>
      </c>
      <c r="T1372">
        <v>3</v>
      </c>
      <c r="V1372">
        <v>58.4</v>
      </c>
      <c r="W1372">
        <v>2592</v>
      </c>
      <c r="X1372">
        <v>50</v>
      </c>
      <c r="Y1372" t="s">
        <v>907</v>
      </c>
    </row>
    <row r="1373" spans="1:25">
      <c r="A1373" t="s">
        <v>2287</v>
      </c>
      <c r="B1373" s="2" t="str">
        <f>Hyperlink("https://www.diodes.com/datasheet/download/DMT10H010LSS.pdf")</f>
        <v>https://www.diodes.com/datasheet/download/DMT10H010LSS.pdf</v>
      </c>
      <c r="C1373" t="str">
        <f>Hyperlink("https://www.diodes.com/part/view/DMT10H010LSS","DMT10H010LSS")</f>
        <v>DMT10H010LSS</v>
      </c>
      <c r="D1373" t="s">
        <v>759</v>
      </c>
      <c r="E1373" t="s">
        <v>27</v>
      </c>
      <c r="F1373" t="s">
        <v>28</v>
      </c>
      <c r="G1373" t="s">
        <v>29</v>
      </c>
      <c r="H1373" t="s">
        <v>30</v>
      </c>
      <c r="I1373">
        <v>100</v>
      </c>
      <c r="J1373">
        <v>20</v>
      </c>
      <c r="K1373">
        <v>11.5</v>
      </c>
      <c r="L1373">
        <v>29.5</v>
      </c>
      <c r="M1373">
        <v>1.9</v>
      </c>
      <c r="O1373">
        <v>9.5</v>
      </c>
      <c r="P1373">
        <v>14.5</v>
      </c>
      <c r="T1373">
        <v>2.8</v>
      </c>
      <c r="V1373">
        <v>58.4</v>
      </c>
      <c r="W1373">
        <v>4166</v>
      </c>
      <c r="X1373">
        <v>50</v>
      </c>
      <c r="Y1373" t="s">
        <v>213</v>
      </c>
    </row>
    <row r="1374" spans="1:25">
      <c r="A1374" t="s">
        <v>2288</v>
      </c>
      <c r="B1374" s="2" t="str">
        <f>Hyperlink("https://www.diodes.com/datasheet/download/DMT10H010LSSQ.pdf")</f>
        <v>https://www.diodes.com/datasheet/download/DMT10H010LSSQ.pdf</v>
      </c>
      <c r="C1374" t="str">
        <f>Hyperlink("https://www.diodes.com/part/view/DMT10H010LSSQ","DMT10H010LSSQ")</f>
        <v>DMT10H010LSSQ</v>
      </c>
      <c r="D1374" t="s">
        <v>2279</v>
      </c>
      <c r="E1374" t="s">
        <v>27</v>
      </c>
      <c r="F1374" t="s">
        <v>37</v>
      </c>
      <c r="G1374" t="s">
        <v>29</v>
      </c>
      <c r="H1374" t="s">
        <v>30</v>
      </c>
      <c r="I1374">
        <v>100</v>
      </c>
      <c r="J1374">
        <v>20</v>
      </c>
      <c r="K1374">
        <v>12</v>
      </c>
      <c r="M1374">
        <v>1.9</v>
      </c>
      <c r="O1374">
        <v>9.5</v>
      </c>
      <c r="P1374">
        <v>14.5</v>
      </c>
      <c r="S1374">
        <v>1.4</v>
      </c>
      <c r="T1374">
        <v>2.8</v>
      </c>
      <c r="V1374">
        <v>58.4</v>
      </c>
      <c r="W1374">
        <v>4166</v>
      </c>
      <c r="X1374">
        <v>50</v>
      </c>
      <c r="Y1374" t="s">
        <v>213</v>
      </c>
    </row>
    <row r="1375" spans="1:25">
      <c r="A1375" t="s">
        <v>2289</v>
      </c>
      <c r="B1375" s="2" t="str">
        <f>Hyperlink("https://www.diodes.com/datasheet/download/DMT10H010SPS.pdf")</f>
        <v>https://www.diodes.com/datasheet/download/DMT10H010SPS.pdf</v>
      </c>
      <c r="C1375" t="str">
        <f>Hyperlink("https://www.diodes.com/part/view/DMT10H010SPS","DMT10H010SPS")</f>
        <v>DMT10H010SPS</v>
      </c>
      <c r="D1375" t="s">
        <v>759</v>
      </c>
      <c r="E1375" t="s">
        <v>27</v>
      </c>
      <c r="F1375" t="s">
        <v>28</v>
      </c>
      <c r="G1375" t="s">
        <v>29</v>
      </c>
      <c r="H1375" t="s">
        <v>30</v>
      </c>
      <c r="I1375">
        <v>100</v>
      </c>
      <c r="J1375">
        <v>20</v>
      </c>
      <c r="K1375">
        <v>14</v>
      </c>
      <c r="L1375">
        <v>100</v>
      </c>
      <c r="M1375">
        <v>2.5</v>
      </c>
      <c r="N1375">
        <v>139</v>
      </c>
      <c r="O1375">
        <v>8.8</v>
      </c>
      <c r="P1375" t="s">
        <v>2290</v>
      </c>
      <c r="T1375">
        <v>4</v>
      </c>
      <c r="V1375">
        <v>56.4</v>
      </c>
      <c r="W1375">
        <v>4468</v>
      </c>
      <c r="X1375">
        <v>50</v>
      </c>
      <c r="Y1375" t="s">
        <v>907</v>
      </c>
    </row>
    <row r="1376" spans="1:25">
      <c r="A1376" t="s">
        <v>2291</v>
      </c>
      <c r="B1376" s="2" t="str">
        <f>Hyperlink("https://www.diodes.com/datasheet/download/DMT10H014LSS.pdf")</f>
        <v>https://www.diodes.com/datasheet/download/DMT10H014LSS.pdf</v>
      </c>
      <c r="C1376" t="str">
        <f>Hyperlink("https://www.diodes.com/part/view/DMT10H014LSS","DMT10H014LSS")</f>
        <v>DMT10H014LSS</v>
      </c>
      <c r="D1376" t="s">
        <v>759</v>
      </c>
      <c r="E1376" t="s">
        <v>27</v>
      </c>
      <c r="F1376" t="s">
        <v>28</v>
      </c>
      <c r="G1376" t="s">
        <v>29</v>
      </c>
      <c r="H1376" t="s">
        <v>30</v>
      </c>
      <c r="I1376">
        <v>100</v>
      </c>
      <c r="J1376">
        <v>20</v>
      </c>
      <c r="K1376">
        <v>8.9</v>
      </c>
      <c r="M1376">
        <v>1.67</v>
      </c>
      <c r="O1376">
        <v>14</v>
      </c>
      <c r="P1376">
        <v>25</v>
      </c>
      <c r="T1376">
        <v>3</v>
      </c>
      <c r="V1376">
        <v>33.3</v>
      </c>
      <c r="W1376">
        <v>1871</v>
      </c>
      <c r="X1376">
        <v>50</v>
      </c>
      <c r="Y1376" t="s">
        <v>213</v>
      </c>
    </row>
    <row r="1377" spans="1:25">
      <c r="A1377" t="s">
        <v>2292</v>
      </c>
      <c r="B1377" s="2" t="str">
        <f>Hyperlink("https://www.diodes.com/datasheet/download/DMT10H015LCG.pdf")</f>
        <v>https://www.diodes.com/datasheet/download/DMT10H015LCG.pdf</v>
      </c>
      <c r="C1377" t="str">
        <f>Hyperlink("https://www.diodes.com/part/view/DMT10H015LCG","DMT10H015LCG")</f>
        <v>DMT10H015LCG</v>
      </c>
      <c r="D1377" t="s">
        <v>759</v>
      </c>
      <c r="E1377" t="s">
        <v>30</v>
      </c>
      <c r="F1377" t="s">
        <v>28</v>
      </c>
      <c r="G1377" t="s">
        <v>29</v>
      </c>
      <c r="H1377" t="s">
        <v>30</v>
      </c>
      <c r="I1377">
        <v>100</v>
      </c>
      <c r="J1377">
        <v>20</v>
      </c>
      <c r="K1377">
        <v>9.4</v>
      </c>
      <c r="L1377">
        <v>34</v>
      </c>
      <c r="M1377">
        <v>2.1</v>
      </c>
      <c r="O1377">
        <v>15</v>
      </c>
      <c r="P1377">
        <v>26</v>
      </c>
      <c r="T1377">
        <v>3.5</v>
      </c>
      <c r="V1377">
        <v>33.3</v>
      </c>
      <c r="W1377">
        <v>1871</v>
      </c>
      <c r="X1377">
        <v>50</v>
      </c>
      <c r="Y1377" t="s">
        <v>1881</v>
      </c>
    </row>
    <row r="1378" spans="1:25">
      <c r="A1378" t="s">
        <v>2293</v>
      </c>
      <c r="B1378" s="2" t="str">
        <f>Hyperlink("https://www.diodes.com/datasheet/download/DMT10H015LFG.pdf")</f>
        <v>https://www.diodes.com/datasheet/download/DMT10H015LFG.pdf</v>
      </c>
      <c r="C1378" t="str">
        <f>Hyperlink("https://www.diodes.com/part/view/DMT10H015LFG","DMT10H015LFG")</f>
        <v>DMT10H015LFG</v>
      </c>
      <c r="D1378" t="s">
        <v>759</v>
      </c>
      <c r="E1378" t="s">
        <v>27</v>
      </c>
      <c r="F1378" t="s">
        <v>28</v>
      </c>
      <c r="G1378" t="s">
        <v>29</v>
      </c>
      <c r="H1378" t="s">
        <v>30</v>
      </c>
      <c r="I1378">
        <v>100</v>
      </c>
      <c r="J1378">
        <v>20</v>
      </c>
      <c r="K1378">
        <v>10</v>
      </c>
      <c r="L1378">
        <v>42</v>
      </c>
      <c r="M1378">
        <v>2</v>
      </c>
      <c r="O1378">
        <v>13.5</v>
      </c>
      <c r="P1378">
        <v>23.5</v>
      </c>
      <c r="T1378">
        <v>3.5</v>
      </c>
      <c r="V1378">
        <v>33.3</v>
      </c>
      <c r="W1378">
        <v>1871</v>
      </c>
      <c r="X1378">
        <v>50</v>
      </c>
      <c r="Y1378" t="s">
        <v>718</v>
      </c>
    </row>
    <row r="1379" spans="1:25">
      <c r="A1379" t="s">
        <v>2294</v>
      </c>
      <c r="B1379" s="2" t="str">
        <f>Hyperlink("https://www.diodes.com/datasheet/download/DMT10H015LK3.pdf")</f>
        <v>https://www.diodes.com/datasheet/download/DMT10H015LK3.pdf</v>
      </c>
      <c r="C1379" t="str">
        <f>Hyperlink("https://www.diodes.com/part/view/DMT10H015LK3","DMT10H015LK3")</f>
        <v>DMT10H015LK3</v>
      </c>
      <c r="D1379" t="s">
        <v>759</v>
      </c>
      <c r="E1379" t="s">
        <v>27</v>
      </c>
      <c r="F1379" t="s">
        <v>28</v>
      </c>
      <c r="G1379" t="s">
        <v>29</v>
      </c>
      <c r="H1379" t="s">
        <v>30</v>
      </c>
      <c r="I1379">
        <v>100</v>
      </c>
      <c r="J1379">
        <v>20</v>
      </c>
      <c r="L1379">
        <v>52.7</v>
      </c>
      <c r="M1379">
        <v>2.9</v>
      </c>
      <c r="O1379">
        <v>15</v>
      </c>
      <c r="P1379">
        <v>25</v>
      </c>
      <c r="T1379">
        <v>3.5</v>
      </c>
      <c r="V1379">
        <v>33.3</v>
      </c>
      <c r="W1379">
        <v>1871</v>
      </c>
      <c r="X1379">
        <v>50</v>
      </c>
      <c r="Y1379" t="s">
        <v>681</v>
      </c>
    </row>
    <row r="1380" spans="1:25">
      <c r="A1380" t="s">
        <v>2295</v>
      </c>
      <c r="B1380" s="2" t="str">
        <f>Hyperlink("https://www.diodes.com/datasheet/download/DMT10H015LPS.pdf")</f>
        <v>https://www.diodes.com/datasheet/download/DMT10H015LPS.pdf</v>
      </c>
      <c r="C1380" t="str">
        <f>Hyperlink("https://www.diodes.com/part/view/DMT10H015LPS","DMT10H015LPS")</f>
        <v>DMT10H015LPS</v>
      </c>
      <c r="D1380" t="s">
        <v>759</v>
      </c>
      <c r="E1380" t="s">
        <v>27</v>
      </c>
      <c r="F1380" t="s">
        <v>28</v>
      </c>
      <c r="G1380" t="s">
        <v>29</v>
      </c>
      <c r="H1380" t="s">
        <v>30</v>
      </c>
      <c r="I1380">
        <v>100</v>
      </c>
      <c r="J1380">
        <v>20</v>
      </c>
      <c r="K1380">
        <v>10</v>
      </c>
      <c r="L1380">
        <v>44</v>
      </c>
      <c r="M1380">
        <v>1.3</v>
      </c>
      <c r="O1380">
        <v>16</v>
      </c>
      <c r="P1380">
        <v>25</v>
      </c>
      <c r="T1380">
        <v>3</v>
      </c>
      <c r="V1380">
        <v>33.3</v>
      </c>
      <c r="W1380">
        <v>1871</v>
      </c>
      <c r="X1380">
        <v>50</v>
      </c>
      <c r="Y1380" t="s">
        <v>907</v>
      </c>
    </row>
    <row r="1381" spans="1:25">
      <c r="A1381" t="s">
        <v>2296</v>
      </c>
      <c r="B1381" s="2" t="str">
        <f>Hyperlink("https://www.diodes.com/datasheet/download/DMT10H015LSS.pdf")</f>
        <v>https://www.diodes.com/datasheet/download/DMT10H015LSS.pdf</v>
      </c>
      <c r="C1381" t="str">
        <f>Hyperlink("https://www.diodes.com/part/view/DMT10H015LSS","DMT10H015LSS")</f>
        <v>DMT10H015LSS</v>
      </c>
      <c r="D1381" t="s">
        <v>759</v>
      </c>
      <c r="E1381" t="s">
        <v>27</v>
      </c>
      <c r="F1381" t="s">
        <v>28</v>
      </c>
      <c r="G1381" t="s">
        <v>29</v>
      </c>
      <c r="H1381" t="s">
        <v>30</v>
      </c>
      <c r="I1381">
        <v>100</v>
      </c>
      <c r="J1381">
        <v>20</v>
      </c>
      <c r="K1381">
        <v>8.3</v>
      </c>
      <c r="M1381">
        <v>1.67</v>
      </c>
      <c r="O1381">
        <v>16</v>
      </c>
      <c r="P1381">
        <v>25</v>
      </c>
      <c r="T1381">
        <v>3</v>
      </c>
      <c r="V1381">
        <v>33.3</v>
      </c>
      <c r="W1381">
        <v>1871</v>
      </c>
      <c r="X1381">
        <v>50</v>
      </c>
      <c r="Y1381" t="s">
        <v>213</v>
      </c>
    </row>
    <row r="1382" spans="1:25">
      <c r="A1382" t="s">
        <v>2297</v>
      </c>
      <c r="B1382" s="2" t="str">
        <f>Hyperlink("https://www.diodes.com/datasheet/download/DMT10H015SK3.pdf")</f>
        <v>https://www.diodes.com/datasheet/download/DMT10H015SK3.pdf</v>
      </c>
      <c r="C1382" t="str">
        <f>Hyperlink("https://www.diodes.com/part/view/DMT10H015SK3","DMT10H015SK3")</f>
        <v>DMT10H015SK3</v>
      </c>
      <c r="D1382" t="s">
        <v>759</v>
      </c>
      <c r="E1382" t="s">
        <v>30</v>
      </c>
      <c r="F1382" t="s">
        <v>28</v>
      </c>
      <c r="G1382" t="s">
        <v>29</v>
      </c>
      <c r="H1382" t="s">
        <v>30</v>
      </c>
      <c r="I1382">
        <v>100</v>
      </c>
      <c r="J1382">
        <v>20</v>
      </c>
      <c r="L1382">
        <v>54</v>
      </c>
      <c r="M1382">
        <v>2.9</v>
      </c>
      <c r="O1382">
        <v>14</v>
      </c>
      <c r="P1382" t="s">
        <v>2298</v>
      </c>
      <c r="T1382">
        <v>4</v>
      </c>
      <c r="V1382">
        <v>30.1</v>
      </c>
      <c r="W1382">
        <v>2343</v>
      </c>
      <c r="X1382">
        <v>50</v>
      </c>
      <c r="Y1382" t="s">
        <v>681</v>
      </c>
    </row>
    <row r="1383" spans="1:25">
      <c r="A1383" t="s">
        <v>2299</v>
      </c>
      <c r="B1383" s="2" t="str">
        <f>Hyperlink("https://www.diodes.com/datasheet/download/DMT10H015SPS.pdf")</f>
        <v>https://www.diodes.com/datasheet/download/DMT10H015SPS.pdf</v>
      </c>
      <c r="C1383" t="str">
        <f>Hyperlink("https://www.diodes.com/part/view/DMT10H015SPS","DMT10H015SPS")</f>
        <v>DMT10H015SPS</v>
      </c>
      <c r="D1383" t="s">
        <v>759</v>
      </c>
      <c r="E1383" t="s">
        <v>27</v>
      </c>
      <c r="F1383" t="s">
        <v>28</v>
      </c>
      <c r="G1383" t="s">
        <v>29</v>
      </c>
      <c r="H1383" t="s">
        <v>30</v>
      </c>
      <c r="I1383">
        <v>100</v>
      </c>
      <c r="J1383">
        <v>20</v>
      </c>
      <c r="K1383">
        <v>7.6</v>
      </c>
      <c r="L1383">
        <v>46</v>
      </c>
      <c r="M1383">
        <v>1.3</v>
      </c>
      <c r="N1383">
        <v>46</v>
      </c>
      <c r="O1383">
        <v>14.5</v>
      </c>
      <c r="T1383">
        <v>4</v>
      </c>
      <c r="V1383">
        <v>30.1</v>
      </c>
      <c r="W1383">
        <v>2343</v>
      </c>
      <c r="X1383">
        <v>50</v>
      </c>
      <c r="Y1383" t="s">
        <v>907</v>
      </c>
    </row>
    <row r="1384" spans="1:25">
      <c r="A1384" t="s">
        <v>2300</v>
      </c>
      <c r="B1384" s="2" t="str">
        <f>Hyperlink("https://www.diodes.com/datasheet/download/DMT10H017LPD.pdf")</f>
        <v>https://www.diodes.com/datasheet/download/DMT10H017LPD.pdf</v>
      </c>
      <c r="C1384" t="str">
        <f>Hyperlink("https://www.diodes.com/part/view/DMT10H017LPD","DMT10H017LPD")</f>
        <v>DMT10H017LPD</v>
      </c>
      <c r="D1384" t="s">
        <v>832</v>
      </c>
      <c r="E1384" t="s">
        <v>27</v>
      </c>
      <c r="F1384" t="s">
        <v>28</v>
      </c>
      <c r="G1384" t="s">
        <v>40</v>
      </c>
      <c r="H1384" t="s">
        <v>30</v>
      </c>
      <c r="I1384">
        <v>100</v>
      </c>
      <c r="J1384">
        <v>20</v>
      </c>
      <c r="L1384">
        <v>54.7</v>
      </c>
      <c r="M1384">
        <v>2.2</v>
      </c>
      <c r="N1384">
        <v>78</v>
      </c>
      <c r="O1384">
        <v>17.4</v>
      </c>
      <c r="P1384">
        <v>30.3</v>
      </c>
      <c r="T1384">
        <v>3</v>
      </c>
      <c r="U1384">
        <v>14.4</v>
      </c>
      <c r="V1384">
        <v>28.6</v>
      </c>
      <c r="W1384">
        <v>1986</v>
      </c>
      <c r="X1384">
        <v>50</v>
      </c>
      <c r="Y1384" t="s">
        <v>2301</v>
      </c>
    </row>
    <row r="1385" spans="1:25">
      <c r="A1385" t="s">
        <v>2302</v>
      </c>
      <c r="B1385" s="2" t="str">
        <f>Hyperlink("https://www.diodes.com/datasheet/download/DMT10H025LK3.pdf")</f>
        <v>https://www.diodes.com/datasheet/download/DMT10H025LK3.pdf</v>
      </c>
      <c r="C1385" t="str">
        <f>Hyperlink("https://www.diodes.com/part/view/DMT10H025LK3","DMT10H025LK3")</f>
        <v>DMT10H025LK3</v>
      </c>
      <c r="D1385" t="s">
        <v>759</v>
      </c>
      <c r="E1385" t="s">
        <v>27</v>
      </c>
      <c r="F1385" t="s">
        <v>28</v>
      </c>
      <c r="G1385" t="s">
        <v>29</v>
      </c>
      <c r="H1385" t="s">
        <v>30</v>
      </c>
      <c r="I1385">
        <v>100</v>
      </c>
      <c r="J1385">
        <v>20</v>
      </c>
      <c r="L1385">
        <v>47.2</v>
      </c>
      <c r="M1385">
        <v>2.6</v>
      </c>
      <c r="N1385">
        <v>83</v>
      </c>
      <c r="O1385">
        <v>22</v>
      </c>
      <c r="P1385">
        <v>43.7</v>
      </c>
      <c r="T1385">
        <v>3</v>
      </c>
      <c r="V1385">
        <v>21</v>
      </c>
      <c r="W1385">
        <v>1477</v>
      </c>
      <c r="X1385">
        <v>50</v>
      </c>
      <c r="Y1385" t="s">
        <v>681</v>
      </c>
    </row>
    <row r="1386" spans="1:25">
      <c r="A1386" t="s">
        <v>2303</v>
      </c>
      <c r="B1386" s="2" t="str">
        <f>Hyperlink("https://www.diodes.com/datasheet/download/DMT10H025LSS.pdf")</f>
        <v>https://www.diodes.com/datasheet/download/DMT10H025LSS.pdf</v>
      </c>
      <c r="C1386" t="str">
        <f>Hyperlink("https://www.diodes.com/part/view/DMT10H025LSS","DMT10H025LSS")</f>
        <v>DMT10H025LSS</v>
      </c>
      <c r="D1386" t="s">
        <v>759</v>
      </c>
      <c r="E1386" t="s">
        <v>30</v>
      </c>
      <c r="F1386" t="s">
        <v>28</v>
      </c>
      <c r="G1386" t="s">
        <v>29</v>
      </c>
      <c r="H1386" t="s">
        <v>30</v>
      </c>
      <c r="I1386">
        <v>100</v>
      </c>
      <c r="J1386">
        <v>20</v>
      </c>
      <c r="K1386">
        <v>7.1</v>
      </c>
      <c r="M1386">
        <v>1.9</v>
      </c>
      <c r="N1386">
        <v>12.9</v>
      </c>
      <c r="O1386">
        <v>25</v>
      </c>
      <c r="P1386">
        <v>45</v>
      </c>
      <c r="T1386">
        <v>3</v>
      </c>
      <c r="V1386">
        <v>22.9</v>
      </c>
      <c r="W1386">
        <v>1639</v>
      </c>
      <c r="X1386">
        <v>50</v>
      </c>
      <c r="Y1386" t="s">
        <v>213</v>
      </c>
    </row>
    <row r="1387" spans="1:25">
      <c r="A1387" t="s">
        <v>2304</v>
      </c>
      <c r="B1387" s="2" t="str">
        <f>Hyperlink("https://www.diodes.com/datasheet/download/DMT10H025SK3+.pdf")</f>
        <v>https://www.diodes.com/datasheet/download/DMT10H025SK3+.pdf</v>
      </c>
      <c r="C1387" t="str">
        <f>Hyperlink("https://www.diodes.com/part/view/DMT10H025SK3","DMT10H025SK3")</f>
        <v>DMT10H025SK3</v>
      </c>
      <c r="D1387" t="s">
        <v>759</v>
      </c>
      <c r="E1387" t="s">
        <v>27</v>
      </c>
      <c r="F1387" t="s">
        <v>28</v>
      </c>
      <c r="G1387" t="s">
        <v>29</v>
      </c>
      <c r="H1387" t="s">
        <v>30</v>
      </c>
      <c r="I1387">
        <v>100</v>
      </c>
      <c r="J1387">
        <v>20</v>
      </c>
      <c r="L1387">
        <v>41.2</v>
      </c>
      <c r="M1387">
        <v>2.5</v>
      </c>
      <c r="O1387">
        <v>23</v>
      </c>
      <c r="T1387">
        <v>4</v>
      </c>
      <c r="V1387">
        <v>21.4</v>
      </c>
      <c r="W1387">
        <v>1544</v>
      </c>
      <c r="X1387">
        <v>50</v>
      </c>
      <c r="Y1387" t="s">
        <v>681</v>
      </c>
    </row>
    <row r="1388" spans="1:25">
      <c r="A1388" t="s">
        <v>2305</v>
      </c>
      <c r="B1388" s="2" t="str">
        <f>Hyperlink("https://www.diodes.com/datasheet/download/DMT10H025SSS.pdf")</f>
        <v>https://www.diodes.com/datasheet/download/DMT10H025SSS.pdf</v>
      </c>
      <c r="C1388" t="str">
        <f>Hyperlink("https://www.diodes.com/part/view/DMT10H025SSS","DMT10H025SSS")</f>
        <v>DMT10H025SSS</v>
      </c>
      <c r="D1388" t="s">
        <v>759</v>
      </c>
      <c r="E1388" t="s">
        <v>30</v>
      </c>
      <c r="F1388" t="s">
        <v>28</v>
      </c>
      <c r="G1388" t="s">
        <v>29</v>
      </c>
      <c r="H1388" t="s">
        <v>30</v>
      </c>
      <c r="I1388">
        <v>100</v>
      </c>
      <c r="J1388">
        <v>20</v>
      </c>
      <c r="K1388">
        <v>7.4</v>
      </c>
      <c r="M1388">
        <v>1.9</v>
      </c>
      <c r="N1388">
        <v>12.9</v>
      </c>
      <c r="O1388">
        <v>23</v>
      </c>
      <c r="P1388" t="s">
        <v>2306</v>
      </c>
      <c r="T1388">
        <v>4</v>
      </c>
      <c r="V1388">
        <v>21.4</v>
      </c>
      <c r="W1388">
        <v>1544</v>
      </c>
      <c r="X1388">
        <v>50</v>
      </c>
      <c r="Y1388" t="s">
        <v>213</v>
      </c>
    </row>
    <row r="1389" spans="1:25">
      <c r="A1389" t="s">
        <v>2307</v>
      </c>
      <c r="B1389" s="2" t="str">
        <f>Hyperlink("https://www.diodes.com/datasheet/download/DMT10H032LDV.pdf")</f>
        <v>https://www.diodes.com/datasheet/download/DMT10H032LDV.pdf</v>
      </c>
      <c r="C1389" t="str">
        <f>Hyperlink("https://www.diodes.com/part/view/DMT10H032LDV","DMT10H032LDV")</f>
        <v>DMT10H032LDV</v>
      </c>
      <c r="D1389" t="s">
        <v>759</v>
      </c>
      <c r="E1389" t="s">
        <v>27</v>
      </c>
      <c r="F1389" t="s">
        <v>28</v>
      </c>
      <c r="G1389" t="s">
        <v>40</v>
      </c>
      <c r="H1389" t="s">
        <v>30</v>
      </c>
      <c r="I1389">
        <v>100</v>
      </c>
      <c r="J1389">
        <v>20</v>
      </c>
      <c r="L1389">
        <v>18</v>
      </c>
      <c r="M1389">
        <v>2.4</v>
      </c>
      <c r="O1389">
        <v>36</v>
      </c>
      <c r="P1389">
        <v>50</v>
      </c>
      <c r="T1389">
        <v>2.5</v>
      </c>
      <c r="U1389">
        <v>6.3</v>
      </c>
      <c r="V1389">
        <v>11.9</v>
      </c>
      <c r="W1389">
        <v>683</v>
      </c>
      <c r="X1389">
        <v>50</v>
      </c>
      <c r="Y1389" t="s">
        <v>718</v>
      </c>
    </row>
    <row r="1390" spans="1:25">
      <c r="A1390" t="s">
        <v>2308</v>
      </c>
      <c r="B1390" s="2" t="str">
        <f>Hyperlink("https://www.diodes.com/datasheet/download/DMT10H032LDVW.pdf")</f>
        <v>https://www.diodes.com/datasheet/download/DMT10H032LDVW.pdf</v>
      </c>
      <c r="C1390" t="str">
        <f>Hyperlink("https://www.diodes.com/part/view/DMT10H032LDVW","DMT10H032LDVW")</f>
        <v>DMT10H032LDVW</v>
      </c>
      <c r="D1390" t="s">
        <v>2309</v>
      </c>
      <c r="E1390" t="s">
        <v>27</v>
      </c>
      <c r="F1390" t="s">
        <v>28</v>
      </c>
      <c r="G1390" t="s">
        <v>40</v>
      </c>
      <c r="H1390" t="s">
        <v>30</v>
      </c>
      <c r="I1390">
        <v>100</v>
      </c>
      <c r="J1390">
        <v>20</v>
      </c>
      <c r="K1390">
        <v>6.9</v>
      </c>
      <c r="M1390">
        <v>2.8</v>
      </c>
      <c r="O1390">
        <v>32</v>
      </c>
      <c r="S1390">
        <v>1.3</v>
      </c>
      <c r="T1390">
        <v>2.5</v>
      </c>
      <c r="U1390">
        <v>6.3</v>
      </c>
      <c r="V1390">
        <v>11.9</v>
      </c>
      <c r="W1390">
        <v>683</v>
      </c>
      <c r="X1390">
        <v>50</v>
      </c>
      <c r="Y1390" t="s">
        <v>401</v>
      </c>
    </row>
    <row r="1391" spans="1:25">
      <c r="A1391" t="s">
        <v>2310</v>
      </c>
      <c r="B1391" s="2" t="str">
        <f>Hyperlink("https://www.diodes.com/datasheet/download/DMT10H032LDVWQ.pdf")</f>
        <v>https://www.diodes.com/datasheet/download/DMT10H032LDVWQ.pdf</v>
      </c>
      <c r="C1391" t="str">
        <f>Hyperlink("https://www.diodes.com/part/view/DMT10H032LDVWQ","DMT10H032LDVWQ")</f>
        <v>DMT10H032LDVWQ</v>
      </c>
      <c r="D1391" t="s">
        <v>2309</v>
      </c>
      <c r="E1391" t="s">
        <v>27</v>
      </c>
      <c r="F1391" t="s">
        <v>37</v>
      </c>
      <c r="G1391" t="s">
        <v>40</v>
      </c>
      <c r="H1391" t="s">
        <v>30</v>
      </c>
      <c r="I1391">
        <v>100</v>
      </c>
      <c r="J1391">
        <v>20</v>
      </c>
      <c r="K1391">
        <v>6.9</v>
      </c>
      <c r="M1391">
        <v>2.8</v>
      </c>
      <c r="O1391">
        <v>32</v>
      </c>
      <c r="S1391">
        <v>1.3</v>
      </c>
      <c r="T1391">
        <v>2.5</v>
      </c>
      <c r="U1391">
        <v>6.3</v>
      </c>
      <c r="V1391">
        <v>11.9</v>
      </c>
      <c r="W1391">
        <v>683</v>
      </c>
      <c r="X1391">
        <v>50</v>
      </c>
      <c r="Y1391" t="s">
        <v>401</v>
      </c>
    </row>
    <row r="1392" spans="1:25">
      <c r="A1392" t="s">
        <v>2311</v>
      </c>
      <c r="B1392" s="2" t="str">
        <f>Hyperlink("https://www.diodes.com/datasheet/download/DMT10H032LFDF.pdf")</f>
        <v>https://www.diodes.com/datasheet/download/DMT10H032LFDF.pdf</v>
      </c>
      <c r="C1392" t="str">
        <f>Hyperlink("https://www.diodes.com/part/view/DMT10H032LFDF","DMT10H032LFDF")</f>
        <v>DMT10H032LFDF</v>
      </c>
      <c r="D1392" t="s">
        <v>759</v>
      </c>
      <c r="E1392" t="s">
        <v>30</v>
      </c>
      <c r="F1392" t="s">
        <v>28</v>
      </c>
      <c r="G1392" t="s">
        <v>29</v>
      </c>
      <c r="H1392" t="s">
        <v>30</v>
      </c>
      <c r="I1392">
        <v>100</v>
      </c>
      <c r="J1392">
        <v>20</v>
      </c>
      <c r="K1392">
        <v>6</v>
      </c>
      <c r="M1392">
        <v>1.6</v>
      </c>
      <c r="O1392">
        <v>32</v>
      </c>
      <c r="P1392">
        <v>46</v>
      </c>
      <c r="T1392">
        <v>2.5</v>
      </c>
      <c r="U1392">
        <v>6.3</v>
      </c>
      <c r="V1392">
        <v>11.9</v>
      </c>
      <c r="W1392">
        <v>683</v>
      </c>
      <c r="X1392">
        <v>50</v>
      </c>
      <c r="Y1392" t="s">
        <v>780</v>
      </c>
    </row>
    <row r="1393" spans="1:25">
      <c r="A1393" t="s">
        <v>2312</v>
      </c>
      <c r="B1393" s="2" t="str">
        <f>Hyperlink("https://www.diodes.com/datasheet/download/DMT10H032LFVW.pdf")</f>
        <v>https://www.diodes.com/datasheet/download/DMT10H032LFVW.pdf</v>
      </c>
      <c r="C1393" t="str">
        <f>Hyperlink("https://www.diodes.com/part/view/DMT10H032LFVW","DMT10H032LFVW")</f>
        <v>DMT10H032LFVW</v>
      </c>
      <c r="D1393" t="s">
        <v>759</v>
      </c>
      <c r="E1393" t="s">
        <v>30</v>
      </c>
      <c r="F1393" t="s">
        <v>28</v>
      </c>
      <c r="G1393" t="s">
        <v>29</v>
      </c>
      <c r="H1393" t="s">
        <v>30</v>
      </c>
      <c r="I1393">
        <v>100</v>
      </c>
      <c r="J1393">
        <v>20</v>
      </c>
      <c r="L1393">
        <v>17</v>
      </c>
      <c r="M1393">
        <v>2.5</v>
      </c>
      <c r="O1393">
        <v>32</v>
      </c>
      <c r="P1393">
        <v>50</v>
      </c>
      <c r="T1393">
        <v>2.5</v>
      </c>
      <c r="U1393">
        <v>6.3</v>
      </c>
      <c r="V1393">
        <v>11.9</v>
      </c>
      <c r="W1393">
        <v>683</v>
      </c>
      <c r="X1393">
        <v>50</v>
      </c>
      <c r="Y1393" t="s">
        <v>718</v>
      </c>
    </row>
    <row r="1394" spans="1:25">
      <c r="A1394" t="s">
        <v>2313</v>
      </c>
      <c r="B1394" s="2" t="str">
        <f>Hyperlink("https://www.diodes.com/datasheet/download/DMT10H032LK3.pdf")</f>
        <v>https://www.diodes.com/datasheet/download/DMT10H032LK3.pdf</v>
      </c>
      <c r="C1394" t="str">
        <f>Hyperlink("https://www.diodes.com/part/view/DMT10H032LK3","DMT10H032LK3")</f>
        <v>DMT10H032LK3</v>
      </c>
      <c r="D1394" t="s">
        <v>759</v>
      </c>
      <c r="E1394" t="s">
        <v>30</v>
      </c>
      <c r="F1394" t="s">
        <v>28</v>
      </c>
      <c r="G1394" t="s">
        <v>29</v>
      </c>
      <c r="H1394" t="s">
        <v>30</v>
      </c>
      <c r="I1394">
        <v>100</v>
      </c>
      <c r="J1394">
        <v>20</v>
      </c>
      <c r="L1394">
        <v>26</v>
      </c>
      <c r="M1394">
        <v>3</v>
      </c>
      <c r="O1394">
        <v>32</v>
      </c>
      <c r="P1394">
        <v>48</v>
      </c>
      <c r="S1394">
        <v>1.3</v>
      </c>
      <c r="T1394">
        <v>2.5</v>
      </c>
      <c r="U1394">
        <v>6.3</v>
      </c>
      <c r="V1394">
        <v>11.9</v>
      </c>
      <c r="W1394">
        <v>683</v>
      </c>
      <c r="X1394">
        <v>50</v>
      </c>
      <c r="Y1394" t="s">
        <v>681</v>
      </c>
    </row>
    <row r="1395" spans="1:25">
      <c r="A1395" t="s">
        <v>2314</v>
      </c>
      <c r="B1395" s="2" t="str">
        <f>Hyperlink("https://www.diodes.com/datasheet/download/DMT10H032LSS.pdf")</f>
        <v>https://www.diodes.com/datasheet/download/DMT10H032LSS.pdf</v>
      </c>
      <c r="C1395" t="str">
        <f>Hyperlink("https://www.diodes.com/part/view/DMT10H032LSS","DMT10H032LSS")</f>
        <v>DMT10H032LSS</v>
      </c>
      <c r="D1395" t="s">
        <v>759</v>
      </c>
      <c r="E1395" t="s">
        <v>30</v>
      </c>
      <c r="F1395" t="s">
        <v>28</v>
      </c>
      <c r="G1395" t="s">
        <v>29</v>
      </c>
      <c r="H1395" t="s">
        <v>30</v>
      </c>
      <c r="I1395">
        <v>100</v>
      </c>
      <c r="J1395">
        <v>20</v>
      </c>
      <c r="K1395">
        <v>5</v>
      </c>
      <c r="M1395">
        <v>1.9</v>
      </c>
      <c r="O1395">
        <v>32</v>
      </c>
      <c r="P1395">
        <v>49</v>
      </c>
      <c r="S1395">
        <v>1.3</v>
      </c>
      <c r="T1395">
        <v>2.5</v>
      </c>
      <c r="U1395">
        <v>6.3</v>
      </c>
      <c r="V1395">
        <v>11.9</v>
      </c>
      <c r="W1395">
        <v>683</v>
      </c>
      <c r="X1395">
        <v>50</v>
      </c>
      <c r="Y1395" t="s">
        <v>213</v>
      </c>
    </row>
    <row r="1396" spans="1:25">
      <c r="A1396" t="s">
        <v>2315</v>
      </c>
      <c r="B1396" s="2" t="str">
        <f>Hyperlink("https://www.diodes.com/datasheet/download/DMT10H032SDVW.pdf")</f>
        <v>https://www.diodes.com/datasheet/download/DMT10H032SDVW.pdf</v>
      </c>
      <c r="C1396" t="str">
        <f>Hyperlink("https://www.diodes.com/part/view/DMT10H032SDVW","DMT10H032SDVW")</f>
        <v>DMT10H032SDVW</v>
      </c>
      <c r="D1396" t="s">
        <v>2309</v>
      </c>
      <c r="E1396" t="s">
        <v>27</v>
      </c>
      <c r="F1396" t="s">
        <v>28</v>
      </c>
      <c r="G1396" t="s">
        <v>40</v>
      </c>
      <c r="H1396" t="s">
        <v>30</v>
      </c>
      <c r="I1396">
        <v>100</v>
      </c>
      <c r="J1396">
        <v>20</v>
      </c>
      <c r="K1396">
        <v>6</v>
      </c>
      <c r="M1396">
        <v>2.3</v>
      </c>
      <c r="O1396">
        <v>35</v>
      </c>
      <c r="S1396">
        <v>2</v>
      </c>
      <c r="T1396">
        <v>4</v>
      </c>
      <c r="U1396">
        <v>4.3</v>
      </c>
      <c r="V1396">
        <v>8</v>
      </c>
      <c r="W1396">
        <v>544</v>
      </c>
      <c r="X1396">
        <v>50</v>
      </c>
      <c r="Y1396" t="s">
        <v>401</v>
      </c>
    </row>
    <row r="1397" spans="1:25">
      <c r="A1397" t="s">
        <v>2316</v>
      </c>
      <c r="B1397" s="2" t="str">
        <f>Hyperlink("https://www.diodes.com/datasheet/download/DMT10H032SDVWQ.pdf")</f>
        <v>https://www.diodes.com/datasheet/download/DMT10H032SDVWQ.pdf</v>
      </c>
      <c r="C1397" t="str">
        <f>Hyperlink("https://www.diodes.com/part/view/DMT10H032SDVWQ","DMT10H032SDVWQ")</f>
        <v>DMT10H032SDVWQ</v>
      </c>
      <c r="D1397" t="s">
        <v>2309</v>
      </c>
      <c r="E1397" t="s">
        <v>27</v>
      </c>
      <c r="F1397" t="s">
        <v>37</v>
      </c>
      <c r="G1397" t="s">
        <v>40</v>
      </c>
      <c r="H1397" t="s">
        <v>30</v>
      </c>
      <c r="I1397">
        <v>100</v>
      </c>
      <c r="J1397">
        <v>20</v>
      </c>
      <c r="K1397">
        <v>6</v>
      </c>
      <c r="M1397">
        <v>2.3</v>
      </c>
      <c r="O1397">
        <v>35</v>
      </c>
      <c r="S1397">
        <v>2</v>
      </c>
      <c r="T1397">
        <v>4</v>
      </c>
      <c r="U1397">
        <v>4.3</v>
      </c>
      <c r="V1397">
        <v>8</v>
      </c>
      <c r="W1397">
        <v>544</v>
      </c>
      <c r="X1397">
        <v>50</v>
      </c>
      <c r="Y1397" t="s">
        <v>401</v>
      </c>
    </row>
    <row r="1398" spans="1:25">
      <c r="A1398" t="s">
        <v>2317</v>
      </c>
      <c r="B1398" s="2" t="str">
        <f>Hyperlink("https://www.diodes.com/datasheet/download/DMT10H032SFVW.pdf")</f>
        <v>https://www.diodes.com/datasheet/download/DMT10H032SFVW.pdf</v>
      </c>
      <c r="C1398" t="str">
        <f>Hyperlink("https://www.diodes.com/part/view/DMT10H032SFVW","DMT10H032SFVW")</f>
        <v>DMT10H032SFVW</v>
      </c>
      <c r="D1398" t="s">
        <v>759</v>
      </c>
      <c r="E1398" t="s">
        <v>30</v>
      </c>
      <c r="F1398" t="s">
        <v>28</v>
      </c>
      <c r="G1398" t="s">
        <v>29</v>
      </c>
      <c r="H1398" t="s">
        <v>30</v>
      </c>
      <c r="I1398">
        <v>100</v>
      </c>
      <c r="J1398">
        <v>20</v>
      </c>
      <c r="L1398">
        <v>35</v>
      </c>
      <c r="O1398">
        <v>32</v>
      </c>
      <c r="T1398">
        <v>4</v>
      </c>
      <c r="U1398">
        <v>4.3</v>
      </c>
      <c r="V1398">
        <v>8</v>
      </c>
      <c r="W1398">
        <v>544</v>
      </c>
      <c r="X1398">
        <v>50</v>
      </c>
      <c r="Y1398" t="s">
        <v>718</v>
      </c>
    </row>
    <row r="1399" spans="1:25">
      <c r="A1399" t="s">
        <v>2318</v>
      </c>
      <c r="B1399" s="2" t="str">
        <f>Hyperlink("https://www.diodes.com/datasheet/download/DMT10H052LFDF.pdf")</f>
        <v>https://www.diodes.com/datasheet/download/DMT10H052LFDF.pdf</v>
      </c>
      <c r="C1399" t="str">
        <f>Hyperlink("https://www.diodes.com/part/view/DMT10H052LFDF","DMT10H052LFDF")</f>
        <v>DMT10H052LFDF</v>
      </c>
      <c r="D1399" t="s">
        <v>759</v>
      </c>
      <c r="E1399" t="s">
        <v>27</v>
      </c>
      <c r="F1399" t="s">
        <v>28</v>
      </c>
      <c r="G1399" t="s">
        <v>29</v>
      </c>
      <c r="H1399" t="s">
        <v>30</v>
      </c>
      <c r="I1399">
        <v>100</v>
      </c>
      <c r="J1399">
        <v>20</v>
      </c>
      <c r="K1399">
        <v>5</v>
      </c>
      <c r="M1399">
        <v>1.9</v>
      </c>
      <c r="O1399">
        <v>52</v>
      </c>
      <c r="P1399">
        <v>75</v>
      </c>
      <c r="T1399">
        <v>2.5</v>
      </c>
      <c r="U1399">
        <v>2.9</v>
      </c>
      <c r="V1399">
        <v>5.4</v>
      </c>
      <c r="W1399">
        <v>258</v>
      </c>
      <c r="X1399">
        <v>50</v>
      </c>
      <c r="Y1399" t="s">
        <v>780</v>
      </c>
    </row>
    <row r="1400" spans="1:25">
      <c r="A1400" t="s">
        <v>2319</v>
      </c>
      <c r="B1400" s="2" t="str">
        <f>Hyperlink("https://www.diodes.com/datasheet/download/DMT10H072LDV.pdf")</f>
        <v>https://www.diodes.com/datasheet/download/DMT10H072LDV.pdf</v>
      </c>
      <c r="C1400" t="str">
        <f>Hyperlink("https://www.diodes.com/part/view/DMT10H072LDV","DMT10H072LDV")</f>
        <v>DMT10H072LDV</v>
      </c>
      <c r="D1400" t="s">
        <v>2320</v>
      </c>
      <c r="E1400" t="s">
        <v>30</v>
      </c>
      <c r="F1400" t="s">
        <v>28</v>
      </c>
      <c r="G1400" t="s">
        <v>40</v>
      </c>
      <c r="H1400" t="s">
        <v>30</v>
      </c>
      <c r="I1400">
        <v>100</v>
      </c>
      <c r="J1400">
        <v>20</v>
      </c>
      <c r="K1400">
        <v>12</v>
      </c>
      <c r="M1400">
        <v>2.2</v>
      </c>
      <c r="O1400">
        <v>66</v>
      </c>
      <c r="P1400">
        <v>114</v>
      </c>
      <c r="S1400">
        <v>1</v>
      </c>
      <c r="T1400">
        <v>3</v>
      </c>
      <c r="U1400">
        <v>2.5</v>
      </c>
      <c r="V1400">
        <v>4.5</v>
      </c>
      <c r="W1400">
        <v>228</v>
      </c>
      <c r="X1400">
        <v>50</v>
      </c>
      <c r="Y1400" t="s">
        <v>381</v>
      </c>
    </row>
    <row r="1401" spans="1:25">
      <c r="A1401" t="s">
        <v>2321</v>
      </c>
      <c r="B1401" s="2" t="str">
        <f>Hyperlink("https://www.diodes.com/datasheet/download/DMT10H072LFDF.pdf")</f>
        <v>https://www.diodes.com/datasheet/download/DMT10H072LFDF.pdf</v>
      </c>
      <c r="C1401" t="str">
        <f>Hyperlink("https://www.diodes.com/part/view/DMT10H072LFDF","DMT10H072LFDF")</f>
        <v>DMT10H072LFDF</v>
      </c>
      <c r="D1401" t="s">
        <v>759</v>
      </c>
      <c r="E1401" t="s">
        <v>27</v>
      </c>
      <c r="F1401" t="s">
        <v>28</v>
      </c>
      <c r="G1401" t="s">
        <v>29</v>
      </c>
      <c r="H1401" t="s">
        <v>30</v>
      </c>
      <c r="I1401">
        <v>100</v>
      </c>
      <c r="J1401">
        <v>20</v>
      </c>
      <c r="K1401">
        <v>4</v>
      </c>
      <c r="M1401">
        <v>1.8</v>
      </c>
      <c r="O1401">
        <v>62</v>
      </c>
      <c r="P1401">
        <v>110</v>
      </c>
      <c r="T1401">
        <v>3</v>
      </c>
      <c r="U1401">
        <v>2.5</v>
      </c>
      <c r="V1401">
        <v>4.5</v>
      </c>
      <c r="W1401">
        <v>266</v>
      </c>
      <c r="X1401">
        <v>50</v>
      </c>
      <c r="Y1401" t="s">
        <v>780</v>
      </c>
    </row>
    <row r="1402" spans="1:25">
      <c r="A1402" t="s">
        <v>2322</v>
      </c>
      <c r="B1402" s="2" t="str">
        <f>Hyperlink("https://www.diodes.com/datasheet/download/DMT10H072LFDFQ.pdf")</f>
        <v>https://www.diodes.com/datasheet/download/DMT10H072LFDFQ.pdf</v>
      </c>
      <c r="C1402" t="str">
        <f>Hyperlink("https://www.diodes.com/part/view/DMT10H072LFDFQ","DMT10H072LFDFQ")</f>
        <v>DMT10H072LFDFQ</v>
      </c>
      <c r="D1402" t="s">
        <v>759</v>
      </c>
      <c r="E1402" t="s">
        <v>27</v>
      </c>
      <c r="F1402" t="s">
        <v>37</v>
      </c>
      <c r="G1402" t="s">
        <v>29</v>
      </c>
      <c r="H1402" t="s">
        <v>30</v>
      </c>
      <c r="I1402">
        <v>100</v>
      </c>
      <c r="J1402">
        <v>20</v>
      </c>
      <c r="K1402">
        <v>4</v>
      </c>
      <c r="M1402">
        <v>1.8</v>
      </c>
      <c r="O1402">
        <v>62</v>
      </c>
      <c r="P1402">
        <v>110</v>
      </c>
      <c r="T1402">
        <v>3</v>
      </c>
      <c r="U1402">
        <v>2.5</v>
      </c>
      <c r="V1402">
        <v>4.5</v>
      </c>
      <c r="W1402">
        <v>228</v>
      </c>
      <c r="X1402">
        <v>50</v>
      </c>
      <c r="Y1402" t="s">
        <v>780</v>
      </c>
    </row>
    <row r="1403" spans="1:25">
      <c r="A1403" t="s">
        <v>2323</v>
      </c>
      <c r="B1403" s="2" t="str">
        <f>Hyperlink("https://www.diodes.com/datasheet/download/DMT10H072LFV.pdf")</f>
        <v>https://www.diodes.com/datasheet/download/DMT10H072LFV.pdf</v>
      </c>
      <c r="C1403" t="str">
        <f>Hyperlink("https://www.diodes.com/part/view/DMT10H072LFV","DMT10H072LFV")</f>
        <v>DMT10H072LFV</v>
      </c>
      <c r="D1403" t="s">
        <v>759</v>
      </c>
      <c r="E1403" t="s">
        <v>30</v>
      </c>
      <c r="F1403" t="s">
        <v>28</v>
      </c>
      <c r="G1403" t="s">
        <v>29</v>
      </c>
      <c r="H1403" t="s">
        <v>30</v>
      </c>
      <c r="I1403">
        <v>100</v>
      </c>
      <c r="J1403">
        <v>20</v>
      </c>
      <c r="K1403">
        <v>4.7</v>
      </c>
      <c r="L1403">
        <v>20</v>
      </c>
      <c r="M1403">
        <v>2</v>
      </c>
      <c r="N1403">
        <v>37.8</v>
      </c>
      <c r="O1403">
        <v>62</v>
      </c>
      <c r="P1403">
        <v>109</v>
      </c>
      <c r="T1403">
        <v>2.8</v>
      </c>
      <c r="U1403">
        <v>2.5</v>
      </c>
      <c r="V1403">
        <v>4.5</v>
      </c>
      <c r="W1403">
        <v>228</v>
      </c>
      <c r="X1403">
        <v>50</v>
      </c>
      <c r="Y1403" t="s">
        <v>718</v>
      </c>
    </row>
    <row r="1404" spans="1:25">
      <c r="A1404" t="s">
        <v>2324</v>
      </c>
      <c r="B1404" s="2" t="str">
        <f>Hyperlink("https://www.diodes.com/datasheet/download/DMT10H075LE.pdf")</f>
        <v>https://www.diodes.com/datasheet/download/DMT10H075LE.pdf</v>
      </c>
      <c r="C1404" t="str">
        <f>Hyperlink("https://www.diodes.com/part/view/DMT10H075LE","DMT10H075LE")</f>
        <v>DMT10H075LE</v>
      </c>
      <c r="D1404" t="s">
        <v>2279</v>
      </c>
      <c r="E1404" t="s">
        <v>30</v>
      </c>
      <c r="F1404" t="s">
        <v>28</v>
      </c>
      <c r="G1404" t="s">
        <v>29</v>
      </c>
      <c r="H1404" t="s">
        <v>30</v>
      </c>
      <c r="I1404">
        <v>100</v>
      </c>
      <c r="J1404">
        <v>20</v>
      </c>
      <c r="K1404">
        <v>4</v>
      </c>
      <c r="N1404">
        <v>2.4</v>
      </c>
      <c r="O1404">
        <v>65</v>
      </c>
      <c r="P1404">
        <v>105</v>
      </c>
      <c r="S1404">
        <v>1</v>
      </c>
      <c r="T1404">
        <v>3</v>
      </c>
      <c r="U1404">
        <v>2.5</v>
      </c>
      <c r="V1404">
        <v>4.5</v>
      </c>
      <c r="W1404">
        <v>228</v>
      </c>
      <c r="X1404">
        <v>50</v>
      </c>
      <c r="Y1404" t="s">
        <v>820</v>
      </c>
    </row>
    <row r="1405" spans="1:25">
      <c r="A1405" t="s">
        <v>2325</v>
      </c>
      <c r="B1405" s="2" t="str">
        <f>Hyperlink("https://www.diodes.com/datasheet/download/DMT10H4M5LPS.pdf")</f>
        <v>https://www.diodes.com/datasheet/download/DMT10H4M5LPS.pdf</v>
      </c>
      <c r="C1405" t="str">
        <f>Hyperlink("https://www.diodes.com/part/view/DMT10H4M5LPS","DMT10H4M5LPS")</f>
        <v>DMT10H4M5LPS</v>
      </c>
      <c r="D1405" t="s">
        <v>759</v>
      </c>
      <c r="E1405" t="s">
        <v>30</v>
      </c>
      <c r="F1405" t="s">
        <v>28</v>
      </c>
      <c r="G1405" t="s">
        <v>29</v>
      </c>
      <c r="H1405" t="s">
        <v>30</v>
      </c>
      <c r="I1405">
        <v>100</v>
      </c>
      <c r="J1405">
        <v>20</v>
      </c>
      <c r="K1405">
        <v>19</v>
      </c>
      <c r="L1405">
        <v>100</v>
      </c>
      <c r="M1405">
        <v>2.3</v>
      </c>
      <c r="N1405">
        <v>113</v>
      </c>
      <c r="O1405">
        <v>4.3</v>
      </c>
      <c r="P1405">
        <v>6.2</v>
      </c>
      <c r="T1405">
        <v>2.5</v>
      </c>
      <c r="V1405">
        <v>80</v>
      </c>
      <c r="W1405">
        <v>4843</v>
      </c>
      <c r="X1405">
        <v>50</v>
      </c>
      <c r="Y1405" t="s">
        <v>907</v>
      </c>
    </row>
    <row r="1406" spans="1:25">
      <c r="A1406" t="s">
        <v>2326</v>
      </c>
      <c r="B1406" s="2" t="str">
        <f>Hyperlink("https://www.diodes.com/datasheet/download/DMT10H9M9LCT.pdf")</f>
        <v>https://www.diodes.com/datasheet/download/DMT10H9M9LCT.pdf</v>
      </c>
      <c r="C1406" t="str">
        <f>Hyperlink("https://www.diodes.com/part/view/DMT10H9M9LCT","DMT10H9M9LCT")</f>
        <v>DMT10H9M9LCT</v>
      </c>
      <c r="D1406" t="s">
        <v>759</v>
      </c>
      <c r="E1406" t="s">
        <v>30</v>
      </c>
      <c r="F1406" t="s">
        <v>28</v>
      </c>
      <c r="G1406" t="s">
        <v>29</v>
      </c>
      <c r="H1406" t="s">
        <v>30</v>
      </c>
      <c r="I1406">
        <v>100</v>
      </c>
      <c r="J1406">
        <v>20</v>
      </c>
      <c r="L1406">
        <v>101</v>
      </c>
      <c r="M1406">
        <v>2.3</v>
      </c>
      <c r="N1406">
        <v>156</v>
      </c>
      <c r="O1406">
        <v>8.5</v>
      </c>
      <c r="P1406">
        <v>14</v>
      </c>
      <c r="T1406">
        <v>2.5</v>
      </c>
      <c r="V1406">
        <v>40.2</v>
      </c>
      <c r="W1406">
        <v>2309</v>
      </c>
      <c r="X1406">
        <v>50</v>
      </c>
      <c r="Y1406" t="s">
        <v>1535</v>
      </c>
    </row>
    <row r="1407" spans="1:25">
      <c r="A1407" t="s">
        <v>2327</v>
      </c>
      <c r="B1407" s="2" t="str">
        <f>Hyperlink("https://www.diodes.com/datasheet/download/DMT10H9M9SCT.pdf")</f>
        <v>https://www.diodes.com/datasheet/download/DMT10H9M9SCT.pdf</v>
      </c>
      <c r="C1407" t="str">
        <f>Hyperlink("https://www.diodes.com/part/view/DMT10H9M9SCT","DMT10H9M9SCT")</f>
        <v>DMT10H9M9SCT</v>
      </c>
      <c r="D1407" t="s">
        <v>759</v>
      </c>
      <c r="E1407" t="s">
        <v>30</v>
      </c>
      <c r="F1407" t="s">
        <v>28</v>
      </c>
      <c r="G1407" t="s">
        <v>29</v>
      </c>
      <c r="H1407" t="s">
        <v>30</v>
      </c>
      <c r="I1407">
        <v>100</v>
      </c>
      <c r="J1407">
        <v>20</v>
      </c>
      <c r="L1407">
        <v>99</v>
      </c>
      <c r="M1407">
        <v>2.3</v>
      </c>
      <c r="N1407">
        <v>156</v>
      </c>
      <c r="O1407">
        <v>8.8</v>
      </c>
      <c r="T1407">
        <v>3.9</v>
      </c>
      <c r="V1407">
        <v>30</v>
      </c>
      <c r="W1407">
        <v>2085</v>
      </c>
      <c r="X1407">
        <v>50</v>
      </c>
      <c r="Y1407" t="s">
        <v>1535</v>
      </c>
    </row>
    <row r="1408" spans="1:25">
      <c r="A1408" t="s">
        <v>2328</v>
      </c>
      <c r="B1408" s="2" t="str">
        <f>Hyperlink("https://www.diodes.com/datasheet/download/DMT10H9M9SH3.pdf")</f>
        <v>https://www.diodes.com/datasheet/download/DMT10H9M9SH3.pdf</v>
      </c>
      <c r="C1408" t="str">
        <f>Hyperlink("https://www.diodes.com/part/view/DMT10H9M9SH3","DMT10H9M9SH3")</f>
        <v>DMT10H9M9SH3</v>
      </c>
      <c r="D1408" t="s">
        <v>759</v>
      </c>
      <c r="E1408" t="s">
        <v>30</v>
      </c>
      <c r="F1408" t="s">
        <v>28</v>
      </c>
      <c r="G1408" t="s">
        <v>29</v>
      </c>
      <c r="H1408" t="s">
        <v>30</v>
      </c>
      <c r="I1408">
        <v>100</v>
      </c>
      <c r="J1408">
        <v>20</v>
      </c>
      <c r="L1408">
        <v>84</v>
      </c>
      <c r="M1408">
        <v>3</v>
      </c>
      <c r="O1408">
        <v>9</v>
      </c>
      <c r="T1408">
        <v>4</v>
      </c>
      <c r="V1408">
        <v>30</v>
      </c>
      <c r="W1408">
        <v>2085</v>
      </c>
      <c r="X1408">
        <v>50</v>
      </c>
      <c r="Y1408" t="s">
        <v>2274</v>
      </c>
    </row>
    <row r="1409" spans="1:25">
      <c r="A1409" t="s">
        <v>2329</v>
      </c>
      <c r="B1409" s="2" t="str">
        <f>Hyperlink("https://www.diodes.com/datasheet/download/DMT12H007LPS.pdf")</f>
        <v>https://www.diodes.com/datasheet/download/DMT12H007LPS.pdf</v>
      </c>
      <c r="C1409" t="str">
        <f>Hyperlink("https://www.diodes.com/part/view/DMT12H007LPS","DMT12H007LPS")</f>
        <v>DMT12H007LPS</v>
      </c>
      <c r="D1409" t="s">
        <v>2330</v>
      </c>
      <c r="E1409" t="s">
        <v>30</v>
      </c>
      <c r="F1409" t="s">
        <v>28</v>
      </c>
      <c r="G1409" t="s">
        <v>29</v>
      </c>
      <c r="H1409" t="s">
        <v>30</v>
      </c>
      <c r="I1409">
        <v>120</v>
      </c>
      <c r="J1409">
        <v>20</v>
      </c>
      <c r="L1409">
        <v>90</v>
      </c>
      <c r="M1409">
        <v>2.9</v>
      </c>
      <c r="N1409">
        <v>96</v>
      </c>
      <c r="O1409">
        <v>7.8</v>
      </c>
      <c r="P1409">
        <v>14.1</v>
      </c>
      <c r="T1409">
        <v>2.5</v>
      </c>
      <c r="V1409">
        <v>49</v>
      </c>
      <c r="W1409">
        <v>3224</v>
      </c>
      <c r="X1409">
        <v>60</v>
      </c>
      <c r="Y1409" t="s">
        <v>907</v>
      </c>
    </row>
    <row r="1410" spans="1:25">
      <c r="A1410" t="s">
        <v>2331</v>
      </c>
      <c r="B1410" s="2" t="str">
        <f>Hyperlink("https://www.diodes.com/datasheet/download/DMT12H007SPS.pdf")</f>
        <v>https://www.diodes.com/datasheet/download/DMT12H007SPS.pdf</v>
      </c>
      <c r="C1410" t="str">
        <f>Hyperlink("https://www.diodes.com/part/view/DMT12H007SPS","DMT12H007SPS")</f>
        <v>DMT12H007SPS</v>
      </c>
      <c r="D1410" t="s">
        <v>2330</v>
      </c>
      <c r="E1410" t="s">
        <v>30</v>
      </c>
      <c r="F1410" t="s">
        <v>28</v>
      </c>
      <c r="G1410" t="s">
        <v>29</v>
      </c>
      <c r="H1410" t="s">
        <v>30</v>
      </c>
      <c r="I1410">
        <v>120</v>
      </c>
      <c r="J1410">
        <v>20</v>
      </c>
      <c r="L1410">
        <v>80</v>
      </c>
      <c r="M1410">
        <v>2.9</v>
      </c>
      <c r="N1410">
        <v>104</v>
      </c>
      <c r="O1410">
        <v>8.9</v>
      </c>
      <c r="T1410">
        <v>4</v>
      </c>
      <c r="V1410">
        <v>44</v>
      </c>
      <c r="W1410">
        <v>3142</v>
      </c>
      <c r="X1410">
        <v>60</v>
      </c>
      <c r="Y1410" t="s">
        <v>907</v>
      </c>
    </row>
    <row r="1411" spans="1:25">
      <c r="A1411" t="s">
        <v>2332</v>
      </c>
      <c r="B1411" s="2" t="str">
        <f>Hyperlink("https://www.diodes.com/datasheet/download/DMT12H060LCA9.pdf")</f>
        <v>https://www.diodes.com/datasheet/download/DMT12H060LCA9.pdf</v>
      </c>
      <c r="C1411" t="str">
        <f>Hyperlink("https://www.diodes.com/part/view/DMT12H060LCA9","DMT12H060LCA9")</f>
        <v>DMT12H060LCA9</v>
      </c>
      <c r="D1411" t="s">
        <v>2333</v>
      </c>
      <c r="E1411" t="s">
        <v>30</v>
      </c>
      <c r="F1411" t="s">
        <v>28</v>
      </c>
      <c r="G1411" t="s">
        <v>29</v>
      </c>
      <c r="H1411" t="s">
        <v>27</v>
      </c>
      <c r="I1411">
        <v>115</v>
      </c>
      <c r="J1411">
        <v>5.5</v>
      </c>
      <c r="K1411">
        <v>3.5</v>
      </c>
      <c r="M1411">
        <v>1.9</v>
      </c>
      <c r="P1411">
        <v>85</v>
      </c>
      <c r="Q1411">
        <v>90</v>
      </c>
      <c r="S1411">
        <v>0.5</v>
      </c>
      <c r="T1411">
        <v>1.4</v>
      </c>
      <c r="W1411">
        <v>560</v>
      </c>
      <c r="X1411">
        <v>50</v>
      </c>
      <c r="Y1411" t="s">
        <v>2334</v>
      </c>
    </row>
    <row r="1412" spans="1:25">
      <c r="A1412" t="s">
        <v>2335</v>
      </c>
      <c r="B1412" s="2" t="str">
        <f>Hyperlink("https://www.diodes.com/datasheet/download/DMT12H060LFDF.pdf")</f>
        <v>https://www.diodes.com/datasheet/download/DMT12H060LFDF.pdf</v>
      </c>
      <c r="C1412" t="str">
        <f>Hyperlink("https://www.diodes.com/part/view/DMT12H060LFDF","DMT12H060LFDF")</f>
        <v>DMT12H060LFDF</v>
      </c>
      <c r="D1412" t="s">
        <v>2333</v>
      </c>
      <c r="E1412" t="s">
        <v>30</v>
      </c>
      <c r="F1412" t="s">
        <v>28</v>
      </c>
      <c r="G1412" t="s">
        <v>29</v>
      </c>
      <c r="H1412" t="s">
        <v>27</v>
      </c>
      <c r="I1412">
        <v>115</v>
      </c>
      <c r="J1412">
        <v>8</v>
      </c>
      <c r="K1412">
        <v>4.4</v>
      </c>
      <c r="M1412">
        <v>2</v>
      </c>
      <c r="P1412">
        <v>65</v>
      </c>
      <c r="Q1412">
        <v>70</v>
      </c>
      <c r="S1412">
        <v>0.5</v>
      </c>
      <c r="T1412">
        <v>1.4</v>
      </c>
      <c r="U1412">
        <v>7.8</v>
      </c>
      <c r="W1412">
        <v>475</v>
      </c>
      <c r="X1412">
        <v>50</v>
      </c>
      <c r="Y1412" t="s">
        <v>780</v>
      </c>
    </row>
    <row r="1413" spans="1:25">
      <c r="A1413" t="s">
        <v>2336</v>
      </c>
      <c r="B1413" s="2" t="str">
        <f>Hyperlink("https://www.diodes.com/datasheet/download/DMT12H065LFDF.pdf")</f>
        <v>https://www.diodes.com/datasheet/download/DMT12H065LFDF.pdf</v>
      </c>
      <c r="C1413" t="str">
        <f>Hyperlink("https://www.diodes.com/part/view/DMT12H065LFDF","DMT12H065LFDF")</f>
        <v>DMT12H065LFDF</v>
      </c>
      <c r="D1413" t="s">
        <v>2333</v>
      </c>
      <c r="E1413" t="s">
        <v>30</v>
      </c>
      <c r="F1413" t="s">
        <v>28</v>
      </c>
      <c r="G1413" t="s">
        <v>29</v>
      </c>
      <c r="H1413" t="s">
        <v>30</v>
      </c>
      <c r="I1413">
        <v>115</v>
      </c>
      <c r="J1413">
        <v>12</v>
      </c>
      <c r="K1413">
        <v>4.3</v>
      </c>
      <c r="M1413">
        <v>1.8</v>
      </c>
      <c r="O1413">
        <v>65</v>
      </c>
      <c r="P1413">
        <v>70</v>
      </c>
      <c r="T1413">
        <v>2.2</v>
      </c>
      <c r="V1413">
        <v>5.5</v>
      </c>
      <c r="W1413">
        <v>252</v>
      </c>
      <c r="X1413">
        <v>50</v>
      </c>
      <c r="Y1413" t="s">
        <v>780</v>
      </c>
    </row>
    <row r="1414" spans="1:25">
      <c r="A1414" t="s">
        <v>2337</v>
      </c>
      <c r="B1414" s="2" t="str">
        <f>Hyperlink("https://www.diodes.com/datasheet/download/DMT12H090LFDF4.pdf")</f>
        <v>https://www.diodes.com/datasheet/download/DMT12H090LFDF4.pdf</v>
      </c>
      <c r="C1414" t="str">
        <f>Hyperlink("https://www.diodes.com/part/view/DMT12H090LFDF4","DMT12H090LFDF4")</f>
        <v>DMT12H090LFDF4</v>
      </c>
      <c r="D1414" t="s">
        <v>2333</v>
      </c>
      <c r="E1414" t="s">
        <v>30</v>
      </c>
      <c r="F1414" t="s">
        <v>28</v>
      </c>
      <c r="G1414" t="s">
        <v>29</v>
      </c>
      <c r="H1414" t="s">
        <v>30</v>
      </c>
      <c r="I1414">
        <v>115</v>
      </c>
      <c r="J1414">
        <v>12</v>
      </c>
      <c r="K1414">
        <v>3.4</v>
      </c>
      <c r="M1414">
        <v>1.6</v>
      </c>
      <c r="O1414">
        <v>90</v>
      </c>
      <c r="P1414">
        <v>100</v>
      </c>
      <c r="T1414">
        <v>2.2</v>
      </c>
      <c r="V1414">
        <v>6</v>
      </c>
      <c r="W1414">
        <v>251</v>
      </c>
      <c r="X1414">
        <v>50</v>
      </c>
      <c r="Y1414" t="s">
        <v>2338</v>
      </c>
    </row>
    <row r="1415" spans="1:25">
      <c r="A1415" t="s">
        <v>2339</v>
      </c>
      <c r="B1415" s="2" t="str">
        <f>Hyperlink("https://www.diodes.com/datasheet/download/DMT15H017LPS.pdf")</f>
        <v>https://www.diodes.com/datasheet/download/DMT15H017LPS.pdf</v>
      </c>
      <c r="C1415" t="str">
        <f>Hyperlink("https://www.diodes.com/part/view/DMT15H017LPS","DMT15H017LPS")</f>
        <v>DMT15H017LPS</v>
      </c>
      <c r="D1415" t="s">
        <v>872</v>
      </c>
      <c r="E1415" t="s">
        <v>30</v>
      </c>
      <c r="F1415" t="s">
        <v>28</v>
      </c>
      <c r="G1415" t="s">
        <v>29</v>
      </c>
      <c r="H1415" t="s">
        <v>30</v>
      </c>
      <c r="I1415">
        <v>150</v>
      </c>
      <c r="J1415">
        <v>20</v>
      </c>
      <c r="K1415">
        <v>9.4</v>
      </c>
      <c r="L1415">
        <v>58</v>
      </c>
      <c r="M1415">
        <v>2.3</v>
      </c>
      <c r="N1415">
        <v>89</v>
      </c>
      <c r="O1415">
        <v>17.5</v>
      </c>
      <c r="P1415">
        <v>25.5</v>
      </c>
      <c r="T1415">
        <v>2.6</v>
      </c>
      <c r="V1415">
        <v>50</v>
      </c>
      <c r="W1415">
        <v>3369</v>
      </c>
      <c r="X1415">
        <v>75</v>
      </c>
      <c r="Y1415" t="s">
        <v>907</v>
      </c>
    </row>
    <row r="1416" spans="1:25">
      <c r="A1416" t="s">
        <v>2340</v>
      </c>
      <c r="B1416" s="2" t="str">
        <f>Hyperlink("https://www.diodes.com/datasheet/download/DMT15H017LPSW.pdf")</f>
        <v>https://www.diodes.com/datasheet/download/DMT15H017LPSW.pdf</v>
      </c>
      <c r="C1416" t="str">
        <f>Hyperlink("https://www.diodes.com/part/view/DMT15H017LPSW","DMT15H017LPSW")</f>
        <v>DMT15H017LPSW</v>
      </c>
      <c r="D1416" t="s">
        <v>2341</v>
      </c>
      <c r="E1416" t="s">
        <v>30</v>
      </c>
      <c r="F1416" t="s">
        <v>28</v>
      </c>
      <c r="G1416" t="s">
        <v>29</v>
      </c>
      <c r="H1416" t="s">
        <v>30</v>
      </c>
      <c r="I1416">
        <v>150</v>
      </c>
      <c r="J1416">
        <v>20</v>
      </c>
      <c r="K1416">
        <v>9.4</v>
      </c>
      <c r="L1416">
        <v>58</v>
      </c>
      <c r="M1416">
        <v>2.3</v>
      </c>
      <c r="N1416">
        <v>89</v>
      </c>
      <c r="O1416">
        <v>17.5</v>
      </c>
      <c r="P1416">
        <v>25.5</v>
      </c>
      <c r="T1416">
        <v>2.6</v>
      </c>
      <c r="V1416">
        <v>50</v>
      </c>
      <c r="W1416">
        <v>3369</v>
      </c>
      <c r="X1416">
        <v>75</v>
      </c>
      <c r="Y1416" t="s">
        <v>1546</v>
      </c>
    </row>
    <row r="1417" spans="1:25">
      <c r="A1417" t="s">
        <v>2342</v>
      </c>
      <c r="B1417" s="2" t="str">
        <f>Hyperlink("https://www.diodes.com/datasheet/download/DMT15H017SK3.pdf")</f>
        <v>https://www.diodes.com/datasheet/download/DMT15H017SK3.pdf</v>
      </c>
      <c r="C1417" t="str">
        <f>Hyperlink("https://www.diodes.com/part/view/DMT15H017SK3","DMT15H017SK3")</f>
        <v>DMT15H017SK3</v>
      </c>
      <c r="D1417" t="s">
        <v>872</v>
      </c>
      <c r="E1417" t="s">
        <v>30</v>
      </c>
      <c r="F1417" t="s">
        <v>28</v>
      </c>
      <c r="G1417" t="s">
        <v>29</v>
      </c>
      <c r="H1417" t="s">
        <v>30</v>
      </c>
      <c r="I1417">
        <v>150</v>
      </c>
      <c r="J1417">
        <v>20</v>
      </c>
      <c r="L1417">
        <v>68</v>
      </c>
      <c r="M1417">
        <v>3.2</v>
      </c>
      <c r="O1417">
        <v>18.5</v>
      </c>
      <c r="T1417">
        <v>4</v>
      </c>
      <c r="V1417">
        <v>34</v>
      </c>
      <c r="W1417">
        <v>2344</v>
      </c>
      <c r="X1417">
        <v>75</v>
      </c>
      <c r="Y1417" t="s">
        <v>681</v>
      </c>
    </row>
    <row r="1418" spans="1:25">
      <c r="A1418" t="s">
        <v>2343</v>
      </c>
      <c r="B1418" s="2" t="str">
        <f>Hyperlink("https://www.diodes.com/datasheet/download/DMT15H035SCT.pdf")</f>
        <v>https://www.diodes.com/datasheet/download/DMT15H035SCT.pdf</v>
      </c>
      <c r="C1418" t="str">
        <f>Hyperlink("https://www.diodes.com/part/view/DMT15H035SCT","DMT15H035SCT")</f>
        <v>DMT15H035SCT</v>
      </c>
      <c r="E1418" t="s">
        <v>30</v>
      </c>
      <c r="F1418" t="s">
        <v>28</v>
      </c>
      <c r="G1418" t="s">
        <v>29</v>
      </c>
      <c r="H1418" t="s">
        <v>30</v>
      </c>
      <c r="I1418">
        <v>150</v>
      </c>
      <c r="J1418">
        <v>20</v>
      </c>
      <c r="L1418">
        <v>46</v>
      </c>
      <c r="M1418">
        <v>2.2</v>
      </c>
      <c r="N1418">
        <v>166</v>
      </c>
      <c r="O1418">
        <v>35</v>
      </c>
      <c r="T1418">
        <v>4</v>
      </c>
      <c r="V1418">
        <v>25</v>
      </c>
      <c r="W1418">
        <v>1600</v>
      </c>
      <c r="X1418">
        <v>75</v>
      </c>
      <c r="Y1418" t="s">
        <v>1535</v>
      </c>
    </row>
    <row r="1419" spans="1:25">
      <c r="A1419" t="s">
        <v>2344</v>
      </c>
      <c r="B1419" s="2" t="str">
        <f>Hyperlink("https://www.diodes.com/datasheet/download/DMT15H053SK3.pdf")</f>
        <v>https://www.diodes.com/datasheet/download/DMT15H053SK3.pdf</v>
      </c>
      <c r="C1419" t="str">
        <f>Hyperlink("https://www.diodes.com/part/view/DMT15H053SK3","DMT15H053SK3")</f>
        <v>DMT15H053SK3</v>
      </c>
      <c r="D1419" t="s">
        <v>872</v>
      </c>
      <c r="E1419" t="s">
        <v>30</v>
      </c>
      <c r="F1419" t="s">
        <v>28</v>
      </c>
      <c r="G1419" t="s">
        <v>29</v>
      </c>
      <c r="H1419" t="s">
        <v>30</v>
      </c>
      <c r="I1419">
        <v>150</v>
      </c>
      <c r="J1419">
        <v>20</v>
      </c>
      <c r="L1419">
        <v>21</v>
      </c>
      <c r="M1419">
        <v>2.8</v>
      </c>
      <c r="N1419">
        <v>60</v>
      </c>
      <c r="O1419">
        <v>60</v>
      </c>
      <c r="S1419">
        <v>2</v>
      </c>
      <c r="T1419">
        <v>4</v>
      </c>
      <c r="V1419">
        <v>11.5</v>
      </c>
      <c r="W1419">
        <v>814</v>
      </c>
      <c r="X1419">
        <v>75</v>
      </c>
      <c r="Y1419" t="s">
        <v>681</v>
      </c>
    </row>
    <row r="1420" spans="1:25">
      <c r="A1420" t="s">
        <v>2345</v>
      </c>
      <c r="B1420" s="2" t="str">
        <f>Hyperlink("https://www.diodes.com/datasheet/download/DMT15H053SPSW.pdf")</f>
        <v>https://www.diodes.com/datasheet/download/DMT15H053SPSW.pdf</v>
      </c>
      <c r="C1420" t="str">
        <f>Hyperlink("https://www.diodes.com/part/view/DMT15H053SPSW","DMT15H053SPSW")</f>
        <v>DMT15H053SPSW</v>
      </c>
      <c r="D1420" t="s">
        <v>2346</v>
      </c>
      <c r="E1420" t="s">
        <v>27</v>
      </c>
      <c r="F1420" t="s">
        <v>28</v>
      </c>
      <c r="G1420" t="s">
        <v>29</v>
      </c>
      <c r="H1420" t="s">
        <v>30</v>
      </c>
      <c r="I1420">
        <v>150</v>
      </c>
      <c r="J1420">
        <v>20</v>
      </c>
      <c r="L1420">
        <v>24</v>
      </c>
      <c r="M1420">
        <v>3.3</v>
      </c>
      <c r="N1420">
        <v>90</v>
      </c>
      <c r="O1420">
        <v>66</v>
      </c>
      <c r="S1420">
        <v>2</v>
      </c>
      <c r="T1420">
        <v>4</v>
      </c>
      <c r="V1420">
        <v>11.5</v>
      </c>
      <c r="W1420">
        <v>814</v>
      </c>
      <c r="X1420">
        <v>75</v>
      </c>
      <c r="Y1420" t="s">
        <v>1546</v>
      </c>
    </row>
    <row r="1421" spans="1:25">
      <c r="A1421" t="s">
        <v>2347</v>
      </c>
      <c r="B1421" s="2" t="str">
        <f>Hyperlink("https://www.diodes.com/datasheet/download/DMT15H053SPSWQ.pdf")</f>
        <v>https://www.diodes.com/datasheet/download/DMT15H053SPSWQ.pdf</v>
      </c>
      <c r="C1421" t="str">
        <f>Hyperlink("https://www.diodes.com/part/view/DMT15H053SPSWQ","DMT15H053SPSWQ")</f>
        <v>DMT15H053SPSWQ</v>
      </c>
      <c r="D1421" t="s">
        <v>2346</v>
      </c>
      <c r="E1421" t="s">
        <v>27</v>
      </c>
      <c r="F1421" t="s">
        <v>37</v>
      </c>
      <c r="G1421" t="s">
        <v>29</v>
      </c>
      <c r="H1421" t="s">
        <v>30</v>
      </c>
      <c r="I1421">
        <v>150</v>
      </c>
      <c r="J1421">
        <v>20</v>
      </c>
      <c r="L1421">
        <v>24</v>
      </c>
      <c r="M1421">
        <v>3.3</v>
      </c>
      <c r="N1421">
        <v>90</v>
      </c>
      <c r="O1421">
        <v>66</v>
      </c>
      <c r="S1421">
        <v>2</v>
      </c>
      <c r="T1421">
        <v>4</v>
      </c>
      <c r="V1421">
        <v>11.5</v>
      </c>
      <c r="W1421">
        <v>814</v>
      </c>
      <c r="X1421">
        <v>75</v>
      </c>
      <c r="Y1421" t="s">
        <v>1546</v>
      </c>
    </row>
    <row r="1422" spans="1:25">
      <c r="A1422" t="s">
        <v>2348</v>
      </c>
      <c r="B1422" s="2" t="str">
        <f>Hyperlink("https://www.diodes.com/datasheet/download/DMT15H053SSS.pdf")</f>
        <v>https://www.diodes.com/datasheet/download/DMT15H053SSS.pdf</v>
      </c>
      <c r="C1422" t="str">
        <f>Hyperlink("https://www.diodes.com/part/view/DMT15H053SSS","DMT15H053SSS")</f>
        <v>DMT15H053SSS</v>
      </c>
      <c r="D1422" t="s">
        <v>872</v>
      </c>
      <c r="E1422" t="s">
        <v>30</v>
      </c>
      <c r="F1422" t="s">
        <v>28</v>
      </c>
      <c r="G1422" t="s">
        <v>29</v>
      </c>
      <c r="H1422" t="s">
        <v>30</v>
      </c>
      <c r="I1422">
        <v>150</v>
      </c>
      <c r="J1422">
        <v>20</v>
      </c>
      <c r="K1422">
        <v>5.2</v>
      </c>
      <c r="L1422">
        <v>15</v>
      </c>
      <c r="M1422">
        <v>2</v>
      </c>
      <c r="O1422">
        <v>53</v>
      </c>
      <c r="T1422">
        <v>4</v>
      </c>
      <c r="V1422">
        <v>11.5</v>
      </c>
      <c r="W1422">
        <v>814</v>
      </c>
      <c r="X1422">
        <v>75</v>
      </c>
      <c r="Y1422" t="s">
        <v>213</v>
      </c>
    </row>
    <row r="1423" spans="1:25">
      <c r="A1423" t="s">
        <v>2349</v>
      </c>
      <c r="B1423" s="2" t="str">
        <f>Hyperlink("https://www.diodes.com/datasheet/download/DMT15H067SSS.pdf")</f>
        <v>https://www.diodes.com/datasheet/download/DMT15H067SSS.pdf</v>
      </c>
      <c r="C1423" t="str">
        <f>Hyperlink("https://www.diodes.com/part/view/DMT15H067SSS","DMT15H067SSS")</f>
        <v>DMT15H067SSS</v>
      </c>
      <c r="D1423" t="s">
        <v>872</v>
      </c>
      <c r="E1423" t="s">
        <v>30</v>
      </c>
      <c r="F1423" t="s">
        <v>28</v>
      </c>
      <c r="G1423" t="s">
        <v>29</v>
      </c>
      <c r="H1423" t="s">
        <v>30</v>
      </c>
      <c r="I1423">
        <v>150</v>
      </c>
      <c r="J1423">
        <v>20</v>
      </c>
      <c r="K1423">
        <v>4.5</v>
      </c>
      <c r="L1423">
        <v>13</v>
      </c>
      <c r="M1423">
        <v>2</v>
      </c>
      <c r="O1423">
        <v>67</v>
      </c>
      <c r="T1423">
        <v>4</v>
      </c>
      <c r="V1423">
        <v>6.4</v>
      </c>
      <c r="W1423">
        <v>425</v>
      </c>
      <c r="X1423">
        <v>75</v>
      </c>
      <c r="Y1423" t="s">
        <v>213</v>
      </c>
    </row>
    <row r="1424" spans="1:25">
      <c r="A1424" t="s">
        <v>2350</v>
      </c>
      <c r="B1424" s="2" t="str">
        <f>Hyperlink("https://www.diodes.com/datasheet/download/DMT2004UFDF.pdf")</f>
        <v>https://www.diodes.com/datasheet/download/DMT2004UFDF.pdf</v>
      </c>
      <c r="C1424" t="str">
        <f>Hyperlink("https://www.diodes.com/part/view/DMT2004UFDF","DMT2004UFDF")</f>
        <v>DMT2004UFDF</v>
      </c>
      <c r="D1424" t="s">
        <v>26</v>
      </c>
      <c r="E1424" t="s">
        <v>30</v>
      </c>
      <c r="F1424" t="s">
        <v>28</v>
      </c>
      <c r="G1424" t="s">
        <v>29</v>
      </c>
      <c r="H1424" t="s">
        <v>30</v>
      </c>
      <c r="I1424">
        <v>24</v>
      </c>
      <c r="J1424">
        <v>12</v>
      </c>
      <c r="K1424">
        <v>14.1</v>
      </c>
      <c r="M1424">
        <v>1.8</v>
      </c>
      <c r="O1424">
        <v>6</v>
      </c>
      <c r="P1424">
        <v>7.2</v>
      </c>
      <c r="Q1424">
        <v>12.5</v>
      </c>
      <c r="S1424">
        <v>0.55</v>
      </c>
      <c r="T1424">
        <v>1.45</v>
      </c>
      <c r="U1424">
        <v>29.6</v>
      </c>
      <c r="V1424">
        <v>53.7</v>
      </c>
      <c r="W1424">
        <v>1683</v>
      </c>
      <c r="X1424">
        <v>15</v>
      </c>
      <c r="Y1424" t="s">
        <v>780</v>
      </c>
    </row>
    <row r="1425" spans="1:25">
      <c r="A1425" t="s">
        <v>2351</v>
      </c>
      <c r="B1425" s="2" t="str">
        <f>Hyperlink("https://www.diodes.com/datasheet/download/DMT2004UFG.pdf")</f>
        <v>https://www.diodes.com/datasheet/download/DMT2004UFG.pdf</v>
      </c>
      <c r="C1425" t="str">
        <f>Hyperlink("https://www.diodes.com/part/view/DMT2004UFG","DMT2004UFG")</f>
        <v>DMT2004UFG</v>
      </c>
      <c r="D1425" t="s">
        <v>26</v>
      </c>
      <c r="E1425" t="s">
        <v>30</v>
      </c>
      <c r="F1425" t="s">
        <v>28</v>
      </c>
      <c r="G1425" t="s">
        <v>29</v>
      </c>
      <c r="H1425" t="s">
        <v>30</v>
      </c>
      <c r="I1425">
        <v>24</v>
      </c>
      <c r="J1425">
        <v>12</v>
      </c>
      <c r="L1425">
        <v>70</v>
      </c>
      <c r="M1425">
        <v>2.3</v>
      </c>
      <c r="O1425">
        <v>5</v>
      </c>
      <c r="P1425">
        <v>6.5</v>
      </c>
      <c r="Q1425">
        <v>10</v>
      </c>
      <c r="S1425">
        <v>0.55</v>
      </c>
      <c r="T1425">
        <v>1.45</v>
      </c>
      <c r="U1425">
        <v>29.6</v>
      </c>
      <c r="V1425">
        <v>53.7</v>
      </c>
      <c r="W1425">
        <v>1683</v>
      </c>
      <c r="X1425">
        <v>15</v>
      </c>
      <c r="Y1425" t="s">
        <v>718</v>
      </c>
    </row>
    <row r="1426" spans="1:25">
      <c r="A1426" t="s">
        <v>2352</v>
      </c>
      <c r="B1426" s="2" t="str">
        <f>Hyperlink("https://www.diodes.com/datasheet/download/DMT2004UFV.pdf")</f>
        <v>https://www.diodes.com/datasheet/download/DMT2004UFV.pdf</v>
      </c>
      <c r="C1426" t="str">
        <f>Hyperlink("https://www.diodes.com/part/view/DMT2004UFV","DMT2004UFV")</f>
        <v>DMT2004UFV</v>
      </c>
      <c r="D1426" t="s">
        <v>26</v>
      </c>
      <c r="E1426" t="s">
        <v>30</v>
      </c>
      <c r="F1426" t="s">
        <v>28</v>
      </c>
      <c r="G1426" t="s">
        <v>29</v>
      </c>
      <c r="H1426" t="s">
        <v>30</v>
      </c>
      <c r="I1426">
        <v>24</v>
      </c>
      <c r="J1426">
        <v>12</v>
      </c>
      <c r="L1426">
        <v>70</v>
      </c>
      <c r="M1426">
        <v>2.3</v>
      </c>
      <c r="O1426">
        <v>5</v>
      </c>
      <c r="P1426">
        <v>6.5</v>
      </c>
      <c r="Q1426">
        <v>10</v>
      </c>
      <c r="S1426">
        <v>0.55</v>
      </c>
      <c r="T1426">
        <v>1.45</v>
      </c>
      <c r="U1426">
        <v>29.6</v>
      </c>
      <c r="V1426">
        <v>53.7</v>
      </c>
      <c r="W1426">
        <v>1683</v>
      </c>
      <c r="X1426">
        <v>15</v>
      </c>
      <c r="Y1426" t="s">
        <v>783</v>
      </c>
    </row>
    <row r="1427" spans="1:25">
      <c r="A1427" t="s">
        <v>2353</v>
      </c>
      <c r="B1427" s="2" t="str">
        <f>Hyperlink("https://www.diodes.com/datasheet/download/DMT2004UPS.pdf")</f>
        <v>https://www.diodes.com/datasheet/download/DMT2004UPS.pdf</v>
      </c>
      <c r="C1427" t="str">
        <f>Hyperlink("https://www.diodes.com/part/view/DMT2004UPS","DMT2004UPS")</f>
        <v>DMT2004UPS</v>
      </c>
      <c r="D1427" t="s">
        <v>26</v>
      </c>
      <c r="E1427" t="s">
        <v>30</v>
      </c>
      <c r="F1427" t="s">
        <v>28</v>
      </c>
      <c r="G1427" t="s">
        <v>29</v>
      </c>
      <c r="H1427" t="s">
        <v>30</v>
      </c>
      <c r="I1427">
        <v>24</v>
      </c>
      <c r="J1427">
        <v>12</v>
      </c>
      <c r="L1427">
        <v>80</v>
      </c>
      <c r="M1427">
        <v>3</v>
      </c>
      <c r="O1427">
        <v>5</v>
      </c>
      <c r="P1427">
        <v>6.5</v>
      </c>
      <c r="Q1427">
        <v>10</v>
      </c>
      <c r="S1427">
        <v>0.55</v>
      </c>
      <c r="T1427">
        <v>1.45</v>
      </c>
      <c r="U1427">
        <v>29.6</v>
      </c>
      <c r="V1427">
        <v>53.7</v>
      </c>
      <c r="W1427">
        <v>1683</v>
      </c>
      <c r="X1427">
        <v>15</v>
      </c>
      <c r="Y1427" t="s">
        <v>907</v>
      </c>
    </row>
    <row r="1428" spans="1:25">
      <c r="A1428" t="s">
        <v>2354</v>
      </c>
      <c r="B1428" s="2" t="str">
        <f>Hyperlink("https://www.diodes.com/datasheet/download/DMT2005UDV.pdf")</f>
        <v>https://www.diodes.com/datasheet/download/DMT2005UDV.pdf</v>
      </c>
      <c r="C1428" t="str">
        <f>Hyperlink("https://www.diodes.com/part/view/DMT2005UDV","DMT2005UDV")</f>
        <v>DMT2005UDV</v>
      </c>
      <c r="D1428" t="s">
        <v>2355</v>
      </c>
      <c r="E1428" t="s">
        <v>30</v>
      </c>
      <c r="F1428" t="s">
        <v>28</v>
      </c>
      <c r="G1428" t="s">
        <v>40</v>
      </c>
      <c r="H1428" t="s">
        <v>30</v>
      </c>
      <c r="I1428">
        <v>24</v>
      </c>
      <c r="J1428">
        <v>12</v>
      </c>
      <c r="L1428">
        <v>50</v>
      </c>
      <c r="M1428">
        <v>1.9</v>
      </c>
      <c r="O1428">
        <v>7</v>
      </c>
      <c r="P1428">
        <v>8</v>
      </c>
      <c r="Q1428">
        <v>12</v>
      </c>
      <c r="S1428">
        <v>0.5</v>
      </c>
      <c r="T1428">
        <v>1.5</v>
      </c>
      <c r="U1428">
        <v>24.8</v>
      </c>
      <c r="V1428">
        <v>46.7</v>
      </c>
      <c r="W1428">
        <v>2060</v>
      </c>
      <c r="X1428">
        <v>10</v>
      </c>
      <c r="Y1428" t="s">
        <v>381</v>
      </c>
    </row>
    <row r="1429" spans="1:25">
      <c r="A1429" t="s">
        <v>2356</v>
      </c>
      <c r="B1429" s="2" t="str">
        <f>Hyperlink("https://www.diodes.com/datasheet/download/DMT26M0LDG.pdf")</f>
        <v>https://www.diodes.com/datasheet/download/DMT26M0LDG.pdf</v>
      </c>
      <c r="C1429" t="str">
        <f>Hyperlink("https://www.diodes.com/part/view/DMT26M0LDG","DMT26M0LDG")</f>
        <v>DMT26M0LDG</v>
      </c>
      <c r="D1429" t="s">
        <v>2357</v>
      </c>
      <c r="E1429" t="s">
        <v>30</v>
      </c>
      <c r="F1429" t="s">
        <v>28</v>
      </c>
      <c r="G1429" t="s">
        <v>40</v>
      </c>
      <c r="H1429" t="s">
        <v>30</v>
      </c>
      <c r="I1429">
        <v>25</v>
      </c>
      <c r="J1429">
        <v>12</v>
      </c>
      <c r="K1429" t="s">
        <v>2358</v>
      </c>
      <c r="M1429">
        <v>1.24</v>
      </c>
      <c r="O1429" t="s">
        <v>2359</v>
      </c>
      <c r="P1429" t="s">
        <v>2360</v>
      </c>
      <c r="S1429" t="s">
        <v>2361</v>
      </c>
      <c r="T1429">
        <v>2.2</v>
      </c>
      <c r="U1429" t="s">
        <v>2362</v>
      </c>
      <c r="V1429" t="s">
        <v>2363</v>
      </c>
      <c r="W1429" t="s">
        <v>2364</v>
      </c>
      <c r="X1429">
        <v>13</v>
      </c>
      <c r="Y1429" t="s">
        <v>2365</v>
      </c>
    </row>
    <row r="1430" spans="1:25">
      <c r="A1430" t="s">
        <v>2366</v>
      </c>
      <c r="B1430" s="2" t="str">
        <f>Hyperlink("https://www.diodes.com/datasheet/download/DMT3002LPS.pdf")</f>
        <v>https://www.diodes.com/datasheet/download/DMT3002LPS.pdf</v>
      </c>
      <c r="C1430" t="str">
        <f>Hyperlink("https://www.diodes.com/part/view/DMT3002LPS","DMT3002LPS")</f>
        <v>DMT3002LPS</v>
      </c>
      <c r="D1430" t="s">
        <v>666</v>
      </c>
      <c r="E1430" t="s">
        <v>27</v>
      </c>
      <c r="F1430" t="s">
        <v>28</v>
      </c>
      <c r="G1430" t="s">
        <v>29</v>
      </c>
      <c r="H1430" t="s">
        <v>30</v>
      </c>
      <c r="I1430">
        <v>30</v>
      </c>
      <c r="J1430">
        <v>16</v>
      </c>
      <c r="L1430">
        <v>240</v>
      </c>
      <c r="M1430">
        <v>2.5</v>
      </c>
      <c r="N1430">
        <v>136</v>
      </c>
      <c r="O1430">
        <v>1.6</v>
      </c>
      <c r="P1430">
        <v>2.5</v>
      </c>
      <c r="T1430">
        <v>2</v>
      </c>
      <c r="U1430">
        <v>37</v>
      </c>
      <c r="V1430">
        <v>77</v>
      </c>
      <c r="W1430">
        <v>5000</v>
      </c>
      <c r="X1430">
        <v>15</v>
      </c>
      <c r="Y1430" t="s">
        <v>1691</v>
      </c>
    </row>
    <row r="1431" spans="1:25">
      <c r="A1431" t="s">
        <v>2367</v>
      </c>
      <c r="B1431" s="2" t="str">
        <f>Hyperlink("https://www.diodes.com/datasheet/download/DMT3003LFG.pdf")</f>
        <v>https://www.diodes.com/datasheet/download/DMT3003LFG.pdf</v>
      </c>
      <c r="C1431" t="str">
        <f>Hyperlink("https://www.diodes.com/part/view/DMT3003LFG","DMT3003LFG")</f>
        <v>DMT3003LFG</v>
      </c>
      <c r="D1431" t="s">
        <v>666</v>
      </c>
      <c r="E1431" t="s">
        <v>27</v>
      </c>
      <c r="F1431" t="s">
        <v>28</v>
      </c>
      <c r="G1431" t="s">
        <v>29</v>
      </c>
      <c r="H1431" t="s">
        <v>30</v>
      </c>
      <c r="I1431">
        <v>30</v>
      </c>
      <c r="J1431">
        <v>20</v>
      </c>
      <c r="K1431">
        <v>22</v>
      </c>
      <c r="L1431">
        <v>100</v>
      </c>
      <c r="M1431">
        <v>2.4</v>
      </c>
      <c r="N1431">
        <v>62</v>
      </c>
      <c r="O1431">
        <v>3.2</v>
      </c>
      <c r="P1431">
        <v>5.5</v>
      </c>
      <c r="T1431">
        <v>3</v>
      </c>
      <c r="U1431">
        <v>20</v>
      </c>
      <c r="V1431">
        <v>44</v>
      </c>
      <c r="W1431">
        <v>2370</v>
      </c>
      <c r="X1431">
        <v>15</v>
      </c>
      <c r="Y1431" t="s">
        <v>718</v>
      </c>
    </row>
    <row r="1432" spans="1:25">
      <c r="A1432" t="s">
        <v>2368</v>
      </c>
      <c r="B1432" s="2" t="str">
        <f>Hyperlink("https://www.diodes.com/datasheet/download/DMT3003LFGQ.pdf")</f>
        <v>https://www.diodes.com/datasheet/download/DMT3003LFGQ.pdf</v>
      </c>
      <c r="C1432" t="str">
        <f>Hyperlink("https://www.diodes.com/part/view/DMT3003LFGQ","DMT3003LFGQ")</f>
        <v>DMT3003LFGQ</v>
      </c>
      <c r="D1432" t="s">
        <v>666</v>
      </c>
      <c r="E1432" t="s">
        <v>27</v>
      </c>
      <c r="F1432" t="s">
        <v>37</v>
      </c>
      <c r="G1432" t="s">
        <v>29</v>
      </c>
      <c r="H1432" t="s">
        <v>30</v>
      </c>
      <c r="I1432">
        <v>30</v>
      </c>
      <c r="J1432">
        <v>20</v>
      </c>
      <c r="K1432">
        <v>22</v>
      </c>
      <c r="L1432">
        <v>100</v>
      </c>
      <c r="M1432">
        <v>2.4</v>
      </c>
      <c r="N1432">
        <v>62</v>
      </c>
      <c r="O1432">
        <v>3.2</v>
      </c>
      <c r="P1432">
        <v>5.5</v>
      </c>
      <c r="T1432">
        <v>3</v>
      </c>
      <c r="U1432">
        <v>20</v>
      </c>
      <c r="V1432">
        <v>44</v>
      </c>
      <c r="W1432">
        <v>2370</v>
      </c>
      <c r="X1432">
        <v>15</v>
      </c>
      <c r="Y1432" t="s">
        <v>718</v>
      </c>
    </row>
    <row r="1433" spans="1:25">
      <c r="A1433" t="s">
        <v>2369</v>
      </c>
      <c r="B1433" s="2" t="str">
        <f>Hyperlink("https://www.diodes.com/datasheet/download/DMT3004LFG.pdf")</f>
        <v>https://www.diodes.com/datasheet/download/DMT3004LFG.pdf</v>
      </c>
      <c r="C1433" t="str">
        <f>Hyperlink("https://www.diodes.com/part/view/DMT3004LFG","DMT3004LFG")</f>
        <v>DMT3004LFG</v>
      </c>
      <c r="D1433" t="s">
        <v>26</v>
      </c>
      <c r="E1433" t="s">
        <v>30</v>
      </c>
      <c r="F1433" t="s">
        <v>28</v>
      </c>
      <c r="G1433" t="s">
        <v>29</v>
      </c>
      <c r="H1433" t="s">
        <v>30</v>
      </c>
      <c r="I1433">
        <v>30</v>
      </c>
      <c r="J1433" t="s">
        <v>2370</v>
      </c>
      <c r="K1433">
        <v>10.4</v>
      </c>
      <c r="L1433">
        <v>25</v>
      </c>
      <c r="M1433">
        <v>2.1</v>
      </c>
      <c r="N1433">
        <v>42</v>
      </c>
      <c r="O1433">
        <v>4.5</v>
      </c>
      <c r="P1433">
        <v>7</v>
      </c>
      <c r="T1433">
        <v>3</v>
      </c>
      <c r="U1433">
        <v>20</v>
      </c>
      <c r="V1433">
        <v>44</v>
      </c>
      <c r="W1433">
        <v>2370</v>
      </c>
      <c r="X1433">
        <v>15</v>
      </c>
      <c r="Y1433" t="s">
        <v>718</v>
      </c>
    </row>
    <row r="1434" spans="1:25">
      <c r="A1434" t="s">
        <v>2371</v>
      </c>
      <c r="B1434" s="2" t="str">
        <f>Hyperlink("https://www.diodes.com/datasheet/download/DMT3004LPS.pdf")</f>
        <v>https://www.diodes.com/datasheet/download/DMT3004LPS.pdf</v>
      </c>
      <c r="C1434" t="str">
        <f>Hyperlink("https://www.diodes.com/part/view/DMT3004LPS","DMT3004LPS")</f>
        <v>DMT3004LPS</v>
      </c>
      <c r="D1434" t="s">
        <v>666</v>
      </c>
      <c r="E1434" t="s">
        <v>27</v>
      </c>
      <c r="F1434" t="s">
        <v>28</v>
      </c>
      <c r="G1434" t="s">
        <v>29</v>
      </c>
      <c r="H1434" t="s">
        <v>30</v>
      </c>
      <c r="I1434">
        <v>30</v>
      </c>
      <c r="J1434" t="s">
        <v>2370</v>
      </c>
      <c r="K1434">
        <v>21</v>
      </c>
      <c r="L1434">
        <v>140</v>
      </c>
      <c r="M1434">
        <v>2.7</v>
      </c>
      <c r="N1434">
        <v>113</v>
      </c>
      <c r="O1434">
        <v>3.8</v>
      </c>
      <c r="P1434">
        <v>6</v>
      </c>
      <c r="T1434">
        <v>3</v>
      </c>
      <c r="V1434">
        <v>43.7</v>
      </c>
      <c r="W1434">
        <v>2370</v>
      </c>
      <c r="X1434">
        <v>15</v>
      </c>
      <c r="Y1434" t="s">
        <v>907</v>
      </c>
    </row>
    <row r="1435" spans="1:25">
      <c r="A1435" t="s">
        <v>2372</v>
      </c>
      <c r="B1435" s="2" t="str">
        <f>Hyperlink("https://www.diodes.com/datasheet/download/DMT3006LDK.pdf")</f>
        <v>https://www.diodes.com/datasheet/download/DMT3006LDK.pdf</v>
      </c>
      <c r="C1435" t="str">
        <f>Hyperlink("https://www.diodes.com/part/view/DMT3006LDK","DMT3006LDK")</f>
        <v>DMT3006LDK</v>
      </c>
      <c r="D1435" t="s">
        <v>666</v>
      </c>
      <c r="E1435" t="s">
        <v>27</v>
      </c>
      <c r="F1435" t="s">
        <v>28</v>
      </c>
      <c r="G1435" t="s">
        <v>29</v>
      </c>
      <c r="H1435" t="s">
        <v>30</v>
      </c>
      <c r="I1435">
        <v>30</v>
      </c>
      <c r="J1435">
        <v>20</v>
      </c>
      <c r="K1435">
        <v>17.1</v>
      </c>
      <c r="L1435">
        <v>46.2</v>
      </c>
      <c r="M1435">
        <v>2.8</v>
      </c>
      <c r="N1435">
        <v>20</v>
      </c>
      <c r="O1435">
        <v>6.5</v>
      </c>
      <c r="P1435">
        <v>10</v>
      </c>
      <c r="T1435">
        <v>3</v>
      </c>
      <c r="U1435">
        <v>8.4</v>
      </c>
      <c r="V1435">
        <v>16.7</v>
      </c>
      <c r="W1435">
        <v>1320</v>
      </c>
      <c r="X1435">
        <v>15</v>
      </c>
      <c r="Y1435" t="s">
        <v>2373</v>
      </c>
    </row>
    <row r="1436" spans="1:25">
      <c r="A1436" t="s">
        <v>2374</v>
      </c>
      <c r="B1436" s="2" t="str">
        <f>Hyperlink("https://www.diodes.com/datasheet/download/DMT3006LDV.pdf")</f>
        <v>https://www.diodes.com/datasheet/download/DMT3006LDV.pdf</v>
      </c>
      <c r="C1436" t="str">
        <f>Hyperlink("https://www.diodes.com/part/view/DMT3006LDV","DMT3006LDV")</f>
        <v>DMT3006LDV</v>
      </c>
      <c r="D1436" t="s">
        <v>666</v>
      </c>
      <c r="E1436" t="s">
        <v>30</v>
      </c>
      <c r="F1436" t="s">
        <v>28</v>
      </c>
      <c r="G1436" t="s">
        <v>40</v>
      </c>
      <c r="H1436" t="s">
        <v>30</v>
      </c>
      <c r="I1436">
        <v>30</v>
      </c>
      <c r="J1436">
        <v>20</v>
      </c>
      <c r="L1436">
        <v>25</v>
      </c>
      <c r="M1436">
        <v>1.8</v>
      </c>
      <c r="O1436">
        <v>10</v>
      </c>
      <c r="P1436">
        <v>14</v>
      </c>
      <c r="T1436">
        <v>3</v>
      </c>
      <c r="U1436">
        <v>8.4</v>
      </c>
      <c r="V1436">
        <v>16.7</v>
      </c>
      <c r="W1436">
        <v>1155</v>
      </c>
      <c r="X1436">
        <v>15</v>
      </c>
      <c r="Y1436" t="s">
        <v>381</v>
      </c>
    </row>
    <row r="1437" spans="1:25">
      <c r="A1437" t="s">
        <v>2375</v>
      </c>
      <c r="B1437" s="2" t="str">
        <f>Hyperlink("https://www.diodes.com/datasheet/download/DMT3006LFDF.pdf")</f>
        <v>https://www.diodes.com/datasheet/download/DMT3006LFDF.pdf</v>
      </c>
      <c r="C1437" t="str">
        <f>Hyperlink("https://www.diodes.com/part/view/DMT3006LFDF","DMT3006LFDF")</f>
        <v>DMT3006LFDF</v>
      </c>
      <c r="D1437" t="s">
        <v>666</v>
      </c>
      <c r="E1437" t="s">
        <v>27</v>
      </c>
      <c r="F1437" t="s">
        <v>28</v>
      </c>
      <c r="G1437" t="s">
        <v>29</v>
      </c>
      <c r="H1437" t="s">
        <v>30</v>
      </c>
      <c r="I1437">
        <v>30</v>
      </c>
      <c r="J1437">
        <v>20</v>
      </c>
      <c r="K1437">
        <v>14.1</v>
      </c>
      <c r="M1437">
        <v>2.1</v>
      </c>
      <c r="O1437">
        <v>7</v>
      </c>
      <c r="P1437">
        <v>10</v>
      </c>
      <c r="T1437">
        <v>3</v>
      </c>
      <c r="U1437">
        <v>8.4</v>
      </c>
      <c r="V1437">
        <v>16.7</v>
      </c>
      <c r="W1437">
        <v>1320</v>
      </c>
      <c r="X1437">
        <v>15</v>
      </c>
      <c r="Y1437" t="s">
        <v>780</v>
      </c>
    </row>
    <row r="1438" spans="1:25">
      <c r="A1438" t="s">
        <v>2376</v>
      </c>
      <c r="B1438" s="2" t="str">
        <f>Hyperlink("https://www.diodes.com/datasheet/download/DMT3006LFDFQ.pdf")</f>
        <v>https://www.diodes.com/datasheet/download/DMT3006LFDFQ.pdf</v>
      </c>
      <c r="C1438" t="str">
        <f>Hyperlink("https://www.diodes.com/part/view/DMT3006LFDFQ","DMT3006LFDFQ")</f>
        <v>DMT3006LFDFQ</v>
      </c>
      <c r="D1438" t="s">
        <v>26</v>
      </c>
      <c r="E1438" t="s">
        <v>27</v>
      </c>
      <c r="F1438" t="s">
        <v>37</v>
      </c>
      <c r="G1438" t="s">
        <v>29</v>
      </c>
      <c r="H1438" t="s">
        <v>30</v>
      </c>
      <c r="I1438">
        <v>30</v>
      </c>
      <c r="J1438">
        <v>20</v>
      </c>
      <c r="K1438">
        <v>14.1</v>
      </c>
      <c r="M1438">
        <v>2.1</v>
      </c>
      <c r="O1438">
        <v>7</v>
      </c>
      <c r="P1438">
        <v>10</v>
      </c>
      <c r="T1438">
        <v>3</v>
      </c>
      <c r="U1438">
        <v>8.4</v>
      </c>
      <c r="V1438">
        <v>16.7</v>
      </c>
      <c r="W1438">
        <v>1155</v>
      </c>
      <c r="X1438">
        <v>15</v>
      </c>
      <c r="Y1438" t="s">
        <v>780</v>
      </c>
    </row>
    <row r="1439" spans="1:25">
      <c r="A1439" t="s">
        <v>2377</v>
      </c>
      <c r="B1439" s="2" t="str">
        <f>Hyperlink("https://www.diodes.com/datasheet/download/DMT3006LFG.pdf")</f>
        <v>https://www.diodes.com/datasheet/download/DMT3006LFG.pdf</v>
      </c>
      <c r="C1439" t="str">
        <f>Hyperlink("https://www.diodes.com/part/view/DMT3006LFG","DMT3006LFG")</f>
        <v>DMT3006LFG</v>
      </c>
      <c r="D1439" t="s">
        <v>666</v>
      </c>
      <c r="E1439" t="s">
        <v>30</v>
      </c>
      <c r="F1439" t="s">
        <v>28</v>
      </c>
      <c r="G1439" t="s">
        <v>29</v>
      </c>
      <c r="H1439" t="s">
        <v>30</v>
      </c>
      <c r="I1439">
        <v>30</v>
      </c>
      <c r="J1439">
        <v>20</v>
      </c>
      <c r="K1439">
        <v>16</v>
      </c>
      <c r="L1439">
        <v>55.6</v>
      </c>
      <c r="N1439">
        <v>27.8</v>
      </c>
      <c r="O1439">
        <v>6</v>
      </c>
      <c r="P1439">
        <v>10</v>
      </c>
      <c r="T1439">
        <v>3</v>
      </c>
      <c r="U1439">
        <v>8.4</v>
      </c>
      <c r="V1439">
        <v>16.7</v>
      </c>
      <c r="W1439">
        <v>1320</v>
      </c>
      <c r="X1439">
        <v>15</v>
      </c>
      <c r="Y1439" t="s">
        <v>718</v>
      </c>
    </row>
    <row r="1440" spans="1:25">
      <c r="A1440" t="s">
        <v>2378</v>
      </c>
      <c r="B1440" s="2" t="str">
        <f>Hyperlink("https://www.diodes.com/datasheet/download/DMT3006LFV.pdf")</f>
        <v>https://www.diodes.com/datasheet/download/DMT3006LFV.pdf</v>
      </c>
      <c r="C1440" t="str">
        <f>Hyperlink("https://www.diodes.com/part/view/DMT3006LFV","DMT3006LFV")</f>
        <v>DMT3006LFV</v>
      </c>
      <c r="D1440" t="s">
        <v>666</v>
      </c>
      <c r="E1440" t="s">
        <v>30</v>
      </c>
      <c r="F1440" t="s">
        <v>28</v>
      </c>
      <c r="G1440" t="s">
        <v>29</v>
      </c>
      <c r="H1440" t="s">
        <v>30</v>
      </c>
      <c r="I1440">
        <v>30</v>
      </c>
      <c r="J1440">
        <v>20</v>
      </c>
      <c r="L1440">
        <v>60</v>
      </c>
      <c r="M1440">
        <v>2</v>
      </c>
      <c r="O1440">
        <v>7</v>
      </c>
      <c r="P1440">
        <v>11</v>
      </c>
      <c r="T1440">
        <v>3</v>
      </c>
      <c r="U1440">
        <v>8.4</v>
      </c>
      <c r="V1440">
        <v>16.7</v>
      </c>
      <c r="W1440">
        <v>1155</v>
      </c>
      <c r="X1440">
        <v>15</v>
      </c>
      <c r="Y1440" t="s">
        <v>783</v>
      </c>
    </row>
    <row r="1441" spans="1:25">
      <c r="A1441" t="s">
        <v>2379</v>
      </c>
      <c r="B1441" s="2" t="str">
        <f>Hyperlink("https://www.diodes.com/datasheet/download/DMT3006LFVQ.pdf")</f>
        <v>https://www.diodes.com/datasheet/download/DMT3006LFVQ.pdf</v>
      </c>
      <c r="C1441" t="str">
        <f>Hyperlink("https://www.diodes.com/part/view/DMT3006LFVQ","DMT3006LFVQ")</f>
        <v>DMT3006LFVQ</v>
      </c>
      <c r="D1441" t="s">
        <v>666</v>
      </c>
      <c r="E1441" t="s">
        <v>27</v>
      </c>
      <c r="F1441" t="s">
        <v>37</v>
      </c>
      <c r="G1441" t="s">
        <v>29</v>
      </c>
      <c r="H1441" t="s">
        <v>30</v>
      </c>
      <c r="I1441">
        <v>30</v>
      </c>
      <c r="J1441">
        <v>20</v>
      </c>
      <c r="L1441">
        <v>60</v>
      </c>
      <c r="M1441">
        <v>2</v>
      </c>
      <c r="O1441">
        <v>7</v>
      </c>
      <c r="P1441">
        <v>11</v>
      </c>
      <c r="T1441">
        <v>3</v>
      </c>
      <c r="U1441">
        <v>8.4</v>
      </c>
      <c r="V1441">
        <v>16.7</v>
      </c>
      <c r="W1441">
        <v>1155</v>
      </c>
      <c r="X1441">
        <v>15</v>
      </c>
      <c r="Y1441" t="s">
        <v>783</v>
      </c>
    </row>
    <row r="1442" spans="1:25">
      <c r="A1442" t="s">
        <v>2380</v>
      </c>
      <c r="B1442" s="2" t="str">
        <f>Hyperlink("https://www.diodes.com/datasheet/download/DMT3006LPB.pdf")</f>
        <v>https://www.diodes.com/datasheet/download/DMT3006LPB.pdf</v>
      </c>
      <c r="C1442" t="str">
        <f>Hyperlink("https://www.diodes.com/part/view/DMT3006LPB","DMT3006LPB")</f>
        <v>DMT3006LPB</v>
      </c>
      <c r="D1442" t="s">
        <v>2381</v>
      </c>
      <c r="E1442" t="s">
        <v>30</v>
      </c>
      <c r="F1442" t="s">
        <v>28</v>
      </c>
      <c r="G1442" t="s">
        <v>40</v>
      </c>
      <c r="H1442" t="s">
        <v>30</v>
      </c>
      <c r="I1442">
        <v>30</v>
      </c>
      <c r="J1442">
        <v>20</v>
      </c>
      <c r="K1442" t="s">
        <v>2382</v>
      </c>
      <c r="L1442" t="s">
        <v>2383</v>
      </c>
      <c r="M1442">
        <v>1.7</v>
      </c>
      <c r="N1442">
        <v>30</v>
      </c>
      <c r="O1442" t="s">
        <v>2384</v>
      </c>
      <c r="P1442" t="s">
        <v>2385</v>
      </c>
      <c r="T1442" t="s">
        <v>219</v>
      </c>
      <c r="U1442" t="s">
        <v>2386</v>
      </c>
      <c r="V1442" t="s">
        <v>2387</v>
      </c>
      <c r="W1442" t="s">
        <v>2388</v>
      </c>
      <c r="X1442">
        <v>15</v>
      </c>
      <c r="Y1442" t="s">
        <v>2389</v>
      </c>
    </row>
    <row r="1443" spans="1:25">
      <c r="A1443" t="s">
        <v>2390</v>
      </c>
      <c r="B1443" s="2" t="str">
        <f>Hyperlink("https://www.diodes.com/datasheet/download/DMT3006LPS.pdf")</f>
        <v>https://www.diodes.com/datasheet/download/DMT3006LPS.pdf</v>
      </c>
      <c r="C1443" t="str">
        <f>Hyperlink("https://www.diodes.com/part/view/DMT3006LPS","DMT3006LPS")</f>
        <v>DMT3006LPS</v>
      </c>
      <c r="D1443" t="s">
        <v>666</v>
      </c>
      <c r="E1443" t="s">
        <v>27</v>
      </c>
      <c r="F1443" t="s">
        <v>28</v>
      </c>
      <c r="G1443" t="s">
        <v>29</v>
      </c>
      <c r="H1443" t="s">
        <v>30</v>
      </c>
      <c r="I1443">
        <v>30</v>
      </c>
      <c r="J1443">
        <v>20</v>
      </c>
      <c r="K1443">
        <v>16</v>
      </c>
      <c r="L1443">
        <v>65</v>
      </c>
      <c r="M1443">
        <v>2.6</v>
      </c>
      <c r="N1443">
        <v>42</v>
      </c>
      <c r="O1443">
        <v>6</v>
      </c>
      <c r="P1443">
        <v>9.8</v>
      </c>
      <c r="T1443">
        <v>3</v>
      </c>
      <c r="U1443">
        <v>8.4</v>
      </c>
      <c r="V1443">
        <v>16.7</v>
      </c>
      <c r="W1443">
        <v>1320</v>
      </c>
      <c r="X1443">
        <v>15</v>
      </c>
      <c r="Y1443" t="s">
        <v>2029</v>
      </c>
    </row>
    <row r="1444" spans="1:25">
      <c r="A1444" t="s">
        <v>2391</v>
      </c>
      <c r="B1444" s="2" t="str">
        <f>Hyperlink("https://www.diodes.com/datasheet/download/DMT3008LFDF.pdf")</f>
        <v>https://www.diodes.com/datasheet/download/DMT3008LFDF.pdf</v>
      </c>
      <c r="C1444" t="str">
        <f>Hyperlink("https://www.diodes.com/part/view/DMT3008LFDF","DMT3008LFDF")</f>
        <v>DMT3008LFDF</v>
      </c>
      <c r="D1444" t="s">
        <v>666</v>
      </c>
      <c r="E1444" t="s">
        <v>30</v>
      </c>
      <c r="F1444" t="s">
        <v>28</v>
      </c>
      <c r="G1444" t="s">
        <v>29</v>
      </c>
      <c r="H1444" t="s">
        <v>30</v>
      </c>
      <c r="I1444">
        <v>30</v>
      </c>
      <c r="J1444">
        <v>20</v>
      </c>
      <c r="K1444">
        <v>12</v>
      </c>
      <c r="M1444">
        <v>2.1</v>
      </c>
      <c r="O1444">
        <v>10</v>
      </c>
      <c r="P1444">
        <v>16</v>
      </c>
      <c r="T1444">
        <v>3</v>
      </c>
      <c r="U1444">
        <v>5.8</v>
      </c>
      <c r="V1444">
        <v>14</v>
      </c>
      <c r="W1444">
        <v>886</v>
      </c>
      <c r="X1444">
        <v>15</v>
      </c>
      <c r="Y1444" t="s">
        <v>780</v>
      </c>
    </row>
    <row r="1445" spans="1:25">
      <c r="A1445" t="s">
        <v>2392</v>
      </c>
      <c r="B1445" s="2" t="str">
        <f>Hyperlink("https://www.diodes.com/datasheet/download/DMT3009LDT.pdf")</f>
        <v>https://www.diodes.com/datasheet/download/DMT3009LDT.pdf</v>
      </c>
      <c r="C1445" t="str">
        <f>Hyperlink("https://www.diodes.com/part/view/DMT3009LDT","DMT3009LDT")</f>
        <v>DMT3009LDT</v>
      </c>
      <c r="D1445" t="s">
        <v>26</v>
      </c>
      <c r="E1445" t="s">
        <v>30</v>
      </c>
      <c r="F1445" t="s">
        <v>28</v>
      </c>
      <c r="G1445" t="s">
        <v>40</v>
      </c>
      <c r="H1445" t="s">
        <v>30</v>
      </c>
      <c r="I1445">
        <v>30</v>
      </c>
      <c r="J1445" t="s">
        <v>2370</v>
      </c>
      <c r="L1445">
        <v>30</v>
      </c>
      <c r="M1445">
        <v>2</v>
      </c>
      <c r="O1445">
        <v>11.1</v>
      </c>
      <c r="P1445">
        <v>13.8</v>
      </c>
      <c r="T1445">
        <v>3</v>
      </c>
      <c r="U1445">
        <v>6.4</v>
      </c>
      <c r="V1445">
        <v>13.8</v>
      </c>
      <c r="W1445">
        <v>748</v>
      </c>
      <c r="X1445">
        <v>15</v>
      </c>
      <c r="Y1445" t="s">
        <v>2393</v>
      </c>
    </row>
    <row r="1446" spans="1:25">
      <c r="A1446" t="s">
        <v>2394</v>
      </c>
      <c r="B1446" s="2" t="str">
        <f>Hyperlink("https://www.diodes.com/datasheet/download/DMT3009LDV.pdf")</f>
        <v>https://www.diodes.com/datasheet/download/DMT3009LDV.pdf</v>
      </c>
      <c r="C1446" t="str">
        <f>Hyperlink("https://www.diodes.com/part/view/DMT3009LDV","DMT3009LDV")</f>
        <v>DMT3009LDV</v>
      </c>
      <c r="D1446" t="s">
        <v>1234</v>
      </c>
      <c r="E1446" t="s">
        <v>30</v>
      </c>
      <c r="F1446" t="s">
        <v>28</v>
      </c>
      <c r="G1446" t="s">
        <v>40</v>
      </c>
      <c r="H1446" t="s">
        <v>30</v>
      </c>
      <c r="I1446">
        <v>30</v>
      </c>
      <c r="J1446" t="s">
        <v>2370</v>
      </c>
      <c r="L1446">
        <v>17.5</v>
      </c>
      <c r="M1446">
        <v>2.4</v>
      </c>
      <c r="O1446">
        <v>11</v>
      </c>
      <c r="P1446">
        <v>17.5</v>
      </c>
      <c r="Q1446" t="s">
        <v>2395</v>
      </c>
      <c r="S1446">
        <v>1</v>
      </c>
      <c r="T1446">
        <v>3</v>
      </c>
      <c r="U1446">
        <v>5.8</v>
      </c>
      <c r="V1446">
        <v>12</v>
      </c>
      <c r="W1446">
        <v>823</v>
      </c>
      <c r="X1446">
        <v>15</v>
      </c>
      <c r="Y1446" t="s">
        <v>381</v>
      </c>
    </row>
    <row r="1447" spans="1:25">
      <c r="A1447" t="s">
        <v>2396</v>
      </c>
      <c r="B1447" s="2" t="str">
        <f>Hyperlink("https://www.diodes.com/datasheet/download/DMT3009LEV.pdf")</f>
        <v>https://www.diodes.com/datasheet/download/DMT3009LEV.pdf</v>
      </c>
      <c r="C1447" t="str">
        <f>Hyperlink("https://www.diodes.com/part/view/DMT3009LEV","DMT3009LEV")</f>
        <v>DMT3009LEV</v>
      </c>
      <c r="D1447" t="s">
        <v>26</v>
      </c>
      <c r="E1447" t="s">
        <v>30</v>
      </c>
      <c r="F1447" t="s">
        <v>28</v>
      </c>
      <c r="G1447" t="s">
        <v>40</v>
      </c>
      <c r="H1447" t="s">
        <v>30</v>
      </c>
      <c r="I1447">
        <v>30</v>
      </c>
      <c r="J1447" t="s">
        <v>2370</v>
      </c>
      <c r="L1447">
        <v>20</v>
      </c>
      <c r="M1447">
        <v>1.8</v>
      </c>
      <c r="O1447">
        <v>12</v>
      </c>
      <c r="P1447">
        <v>20</v>
      </c>
      <c r="T1447">
        <v>3</v>
      </c>
      <c r="U1447">
        <v>5.8</v>
      </c>
      <c r="V1447">
        <v>12</v>
      </c>
      <c r="W1447">
        <v>823</v>
      </c>
      <c r="X1447">
        <v>15</v>
      </c>
      <c r="Y1447" t="s">
        <v>2397</v>
      </c>
    </row>
    <row r="1448" spans="1:25">
      <c r="A1448" t="s">
        <v>2398</v>
      </c>
      <c r="B1448" s="2" t="str">
        <f>Hyperlink("https://www.diodes.com/datasheet/download/DMT3009LFVW.pdf")</f>
        <v>https://www.diodes.com/datasheet/download/DMT3009LFVW.pdf</v>
      </c>
      <c r="C1448" t="str">
        <f>Hyperlink("https://www.diodes.com/part/view/DMT3009LFVW","DMT3009LFVW")</f>
        <v>DMT3009LFVW</v>
      </c>
      <c r="D1448" t="s">
        <v>666</v>
      </c>
      <c r="E1448" t="s">
        <v>27</v>
      </c>
      <c r="F1448" t="s">
        <v>28</v>
      </c>
      <c r="G1448" t="s">
        <v>29</v>
      </c>
      <c r="H1448" t="s">
        <v>30</v>
      </c>
      <c r="I1448">
        <v>30</v>
      </c>
      <c r="J1448">
        <v>20</v>
      </c>
      <c r="K1448">
        <v>12</v>
      </c>
      <c r="L1448">
        <v>50</v>
      </c>
      <c r="M1448">
        <v>2.3</v>
      </c>
      <c r="N1448">
        <v>35.7</v>
      </c>
      <c r="O1448">
        <v>11</v>
      </c>
      <c r="P1448">
        <v>13</v>
      </c>
      <c r="T1448">
        <v>3</v>
      </c>
      <c r="U1448">
        <v>5.8</v>
      </c>
      <c r="V1448">
        <v>12</v>
      </c>
      <c r="W1448">
        <v>823</v>
      </c>
      <c r="X1448">
        <v>15</v>
      </c>
      <c r="Y1448" t="s">
        <v>1109</v>
      </c>
    </row>
    <row r="1449" spans="1:25">
      <c r="A1449" t="s">
        <v>2399</v>
      </c>
      <c r="B1449" s="2" t="str">
        <f>Hyperlink("https://www.diodes.com/datasheet/download/DMT3009LFVWQ.pdf")</f>
        <v>https://www.diodes.com/datasheet/download/DMT3009LFVWQ.pdf</v>
      </c>
      <c r="C1449" t="str">
        <f>Hyperlink("https://www.diodes.com/part/view/DMT3009LFVWQ","DMT3009LFVWQ")</f>
        <v>DMT3009LFVWQ</v>
      </c>
      <c r="D1449" t="s">
        <v>666</v>
      </c>
      <c r="E1449" t="s">
        <v>27</v>
      </c>
      <c r="F1449" t="s">
        <v>37</v>
      </c>
      <c r="G1449" t="s">
        <v>29</v>
      </c>
      <c r="H1449" t="s">
        <v>30</v>
      </c>
      <c r="I1449">
        <v>30</v>
      </c>
      <c r="J1449">
        <v>20</v>
      </c>
      <c r="K1449">
        <v>12</v>
      </c>
      <c r="L1449">
        <v>50</v>
      </c>
      <c r="M1449">
        <v>2.3</v>
      </c>
      <c r="N1449">
        <v>35.7</v>
      </c>
      <c r="O1449">
        <v>11</v>
      </c>
      <c r="P1449">
        <v>13</v>
      </c>
      <c r="T1449">
        <v>3</v>
      </c>
      <c r="U1449">
        <v>5.8</v>
      </c>
      <c r="V1449">
        <v>12</v>
      </c>
      <c r="W1449">
        <v>823</v>
      </c>
      <c r="X1449">
        <v>15</v>
      </c>
      <c r="Y1449" t="s">
        <v>1109</v>
      </c>
    </row>
    <row r="1450" spans="1:25">
      <c r="A1450" t="s">
        <v>2400</v>
      </c>
      <c r="B1450" s="2" t="str">
        <f>Hyperlink("https://www.diodes.com/datasheet/download/DMT3009UDT.pdf")</f>
        <v>https://www.diodes.com/datasheet/download/DMT3009UDT.pdf</v>
      </c>
      <c r="C1450" t="str">
        <f>Hyperlink("https://www.diodes.com/part/view/DMT3009UDT","DMT3009UDT")</f>
        <v>DMT3009UDT</v>
      </c>
      <c r="D1450" t="s">
        <v>39</v>
      </c>
      <c r="E1450" t="s">
        <v>30</v>
      </c>
      <c r="F1450" t="s">
        <v>28</v>
      </c>
      <c r="G1450" t="s">
        <v>40</v>
      </c>
      <c r="H1450" t="s">
        <v>27</v>
      </c>
      <c r="I1450">
        <v>30</v>
      </c>
      <c r="J1450">
        <v>12</v>
      </c>
      <c r="K1450">
        <v>10.6</v>
      </c>
      <c r="L1450">
        <v>30</v>
      </c>
      <c r="M1450">
        <v>1.9</v>
      </c>
      <c r="N1450">
        <v>16</v>
      </c>
      <c r="O1450">
        <v>11.1</v>
      </c>
      <c r="P1450">
        <v>15</v>
      </c>
      <c r="T1450">
        <v>1.8</v>
      </c>
      <c r="U1450">
        <v>7.4</v>
      </c>
      <c r="V1450">
        <v>14.6</v>
      </c>
      <c r="W1450">
        <v>894</v>
      </c>
      <c r="X1450">
        <v>15</v>
      </c>
      <c r="Y1450" t="s">
        <v>2401</v>
      </c>
    </row>
    <row r="1451" spans="1:25">
      <c r="A1451" t="s">
        <v>2402</v>
      </c>
      <c r="B1451" s="2" t="str">
        <f>Hyperlink("https://www.diodes.com/datasheet/download/DMT3009UFVW.pdf")</f>
        <v>https://www.diodes.com/datasheet/download/DMT3009UFVW.pdf</v>
      </c>
      <c r="C1451" t="str">
        <f>Hyperlink("https://www.diodes.com/part/view/DMT3009UFVW","DMT3009UFVW")</f>
        <v>DMT3009UFVW</v>
      </c>
      <c r="D1451" t="s">
        <v>666</v>
      </c>
      <c r="E1451" t="s">
        <v>30</v>
      </c>
      <c r="F1451" t="s">
        <v>28</v>
      </c>
      <c r="G1451" t="s">
        <v>29</v>
      </c>
      <c r="H1451" t="s">
        <v>27</v>
      </c>
      <c r="I1451">
        <v>30</v>
      </c>
      <c r="J1451">
        <v>12</v>
      </c>
      <c r="K1451">
        <v>10.6</v>
      </c>
      <c r="L1451">
        <v>30</v>
      </c>
      <c r="M1451">
        <v>2.6</v>
      </c>
      <c r="N1451">
        <v>35.7</v>
      </c>
      <c r="O1451">
        <v>11</v>
      </c>
      <c r="P1451">
        <v>13</v>
      </c>
      <c r="T1451">
        <v>1.8</v>
      </c>
      <c r="U1451">
        <v>7.4</v>
      </c>
      <c r="V1451">
        <v>14.6</v>
      </c>
      <c r="W1451">
        <v>893</v>
      </c>
      <c r="X1451">
        <v>15</v>
      </c>
      <c r="Y1451" t="s">
        <v>718</v>
      </c>
    </row>
    <row r="1452" spans="1:25">
      <c r="A1452" t="s">
        <v>2403</v>
      </c>
      <c r="B1452" s="2" t="str">
        <f>Hyperlink("https://www.diodes.com/datasheet/download/DMT3011LDT.pdf")</f>
        <v>https://www.diodes.com/datasheet/download/DMT3011LDT.pdf</v>
      </c>
      <c r="C1452" t="str">
        <f>Hyperlink("https://www.diodes.com/part/view/DMT3011LDT","DMT3011LDT")</f>
        <v>DMT3011LDT</v>
      </c>
      <c r="D1452" t="s">
        <v>39</v>
      </c>
      <c r="E1452" t="s">
        <v>30</v>
      </c>
      <c r="F1452" t="s">
        <v>28</v>
      </c>
      <c r="G1452" t="s">
        <v>40</v>
      </c>
      <c r="H1452" t="s">
        <v>30</v>
      </c>
      <c r="I1452">
        <v>30</v>
      </c>
      <c r="J1452" t="s">
        <v>2404</v>
      </c>
      <c r="K1452" t="s">
        <v>2405</v>
      </c>
      <c r="L1452" t="s">
        <v>2406</v>
      </c>
      <c r="M1452">
        <v>1.9</v>
      </c>
      <c r="N1452">
        <v>13.9</v>
      </c>
      <c r="O1452" t="s">
        <v>2407</v>
      </c>
      <c r="P1452" t="s">
        <v>2408</v>
      </c>
      <c r="T1452" t="s">
        <v>219</v>
      </c>
      <c r="U1452" t="s">
        <v>2409</v>
      </c>
      <c r="V1452" t="s">
        <v>2410</v>
      </c>
      <c r="W1452" t="s">
        <v>2411</v>
      </c>
      <c r="X1452">
        <v>15</v>
      </c>
      <c r="Y1452" t="s">
        <v>2393</v>
      </c>
    </row>
    <row r="1453" spans="1:25">
      <c r="A1453" t="s">
        <v>2412</v>
      </c>
      <c r="B1453" s="2" t="str">
        <f>Hyperlink("https://www.diodes.com/datasheet/download/DMT3020LDT.pdf")</f>
        <v>https://www.diodes.com/datasheet/download/DMT3020LDT.pdf</v>
      </c>
      <c r="C1453" t="str">
        <f>Hyperlink("https://www.diodes.com/part/view/DMT3020LDT","DMT3020LDT")</f>
        <v>DMT3020LDT</v>
      </c>
      <c r="D1453" t="s">
        <v>39</v>
      </c>
      <c r="E1453" t="s">
        <v>30</v>
      </c>
      <c r="F1453" t="s">
        <v>28</v>
      </c>
      <c r="G1453" t="s">
        <v>40</v>
      </c>
      <c r="H1453" t="s">
        <v>30</v>
      </c>
      <c r="I1453">
        <v>30</v>
      </c>
      <c r="J1453">
        <v>20</v>
      </c>
      <c r="L1453">
        <v>8.5</v>
      </c>
      <c r="M1453">
        <v>1.95</v>
      </c>
      <c r="O1453">
        <v>20</v>
      </c>
      <c r="P1453">
        <v>32</v>
      </c>
      <c r="T1453">
        <v>2.5</v>
      </c>
      <c r="U1453">
        <v>3.6</v>
      </c>
      <c r="V1453">
        <v>7</v>
      </c>
      <c r="W1453">
        <v>393</v>
      </c>
      <c r="X1453">
        <v>15</v>
      </c>
      <c r="Y1453" t="s">
        <v>967</v>
      </c>
    </row>
    <row r="1454" spans="1:25">
      <c r="A1454" t="s">
        <v>2413</v>
      </c>
      <c r="B1454" s="2" t="str">
        <f>Hyperlink("https://www.diodes.com/datasheet/download/DMT3020LDV.pdf")</f>
        <v>https://www.diodes.com/datasheet/download/DMT3020LDV.pdf</v>
      </c>
      <c r="C1454" t="str">
        <f>Hyperlink("https://www.diodes.com/part/view/DMT3020LDV","DMT3020LDV")</f>
        <v>DMT3020LDV</v>
      </c>
      <c r="D1454" t="s">
        <v>2381</v>
      </c>
      <c r="E1454" t="s">
        <v>30</v>
      </c>
      <c r="F1454" t="s">
        <v>28</v>
      </c>
      <c r="G1454" t="s">
        <v>40</v>
      </c>
      <c r="H1454" t="s">
        <v>30</v>
      </c>
      <c r="I1454">
        <v>30</v>
      </c>
      <c r="J1454">
        <v>20</v>
      </c>
      <c r="L1454">
        <v>32</v>
      </c>
      <c r="M1454">
        <v>1.9</v>
      </c>
      <c r="O1454">
        <v>20</v>
      </c>
      <c r="P1454">
        <v>32</v>
      </c>
      <c r="T1454">
        <v>2.5</v>
      </c>
      <c r="U1454">
        <v>3.6</v>
      </c>
      <c r="V1454">
        <v>7</v>
      </c>
      <c r="W1454">
        <v>393</v>
      </c>
      <c r="X1454">
        <v>15</v>
      </c>
      <c r="Y1454" t="s">
        <v>381</v>
      </c>
    </row>
    <row r="1455" spans="1:25">
      <c r="A1455" t="s">
        <v>2414</v>
      </c>
      <c r="B1455" s="2" t="str">
        <f>Hyperlink("https://www.diodes.com/datasheet/download/DMT3020LFCL.pdf")</f>
        <v>https://www.diodes.com/datasheet/download/DMT3020LFCL.pdf</v>
      </c>
      <c r="C1455" t="str">
        <f>Hyperlink("https://www.diodes.com/part/view/DMT3020LFCL","DMT3020LFCL")</f>
        <v>DMT3020LFCL</v>
      </c>
      <c r="D1455" t="s">
        <v>666</v>
      </c>
      <c r="E1455" t="s">
        <v>30</v>
      </c>
      <c r="F1455" t="s">
        <v>28</v>
      </c>
      <c r="G1455" t="s">
        <v>29</v>
      </c>
      <c r="H1455" t="s">
        <v>30</v>
      </c>
      <c r="I1455">
        <v>30</v>
      </c>
      <c r="J1455">
        <v>20</v>
      </c>
      <c r="K1455">
        <v>7.6</v>
      </c>
      <c r="M1455">
        <v>1.7</v>
      </c>
      <c r="O1455">
        <v>20</v>
      </c>
      <c r="P1455">
        <v>32</v>
      </c>
      <c r="T1455">
        <v>3</v>
      </c>
      <c r="U1455">
        <v>3.6</v>
      </c>
      <c r="V1455">
        <v>7</v>
      </c>
      <c r="W1455">
        <v>393</v>
      </c>
      <c r="X1455">
        <v>15</v>
      </c>
      <c r="Y1455" t="s">
        <v>1727</v>
      </c>
    </row>
    <row r="1456" spans="1:25">
      <c r="A1456" t="s">
        <v>2415</v>
      </c>
      <c r="B1456" s="2" t="str">
        <f>Hyperlink("https://www.diodes.com/datasheet/download/DMT3020LFDB.pdf")</f>
        <v>https://www.diodes.com/datasheet/download/DMT3020LFDB.pdf</v>
      </c>
      <c r="C1456" t="str">
        <f>Hyperlink("https://www.diodes.com/part/view/DMT3020LFDB","DMT3020LFDB")</f>
        <v>DMT3020LFDB</v>
      </c>
      <c r="D1456" t="s">
        <v>1141</v>
      </c>
      <c r="E1456" t="s">
        <v>27</v>
      </c>
      <c r="F1456" t="s">
        <v>28</v>
      </c>
      <c r="G1456" t="s">
        <v>40</v>
      </c>
      <c r="H1456" t="s">
        <v>30</v>
      </c>
      <c r="I1456">
        <v>30</v>
      </c>
      <c r="J1456">
        <v>20</v>
      </c>
      <c r="K1456">
        <v>7.7</v>
      </c>
      <c r="M1456">
        <v>1.8</v>
      </c>
      <c r="O1456">
        <v>20</v>
      </c>
      <c r="P1456">
        <v>32</v>
      </c>
      <c r="T1456">
        <v>2.5</v>
      </c>
      <c r="U1456">
        <v>3.6</v>
      </c>
      <c r="V1456">
        <v>7</v>
      </c>
      <c r="W1456">
        <v>393</v>
      </c>
      <c r="X1456">
        <v>15</v>
      </c>
      <c r="Y1456" t="s">
        <v>179</v>
      </c>
    </row>
    <row r="1457" spans="1:25">
      <c r="A1457" t="s">
        <v>2416</v>
      </c>
      <c r="B1457" s="2" t="str">
        <f>Hyperlink("https://www.diodes.com/datasheet/download/DMT3020LFDBQ.pdf")</f>
        <v>https://www.diodes.com/datasheet/download/DMT3020LFDBQ.pdf</v>
      </c>
      <c r="C1457" t="str">
        <f>Hyperlink("https://www.diodes.com/part/view/DMT3020LFDBQ","DMT3020LFDBQ")</f>
        <v>DMT3020LFDBQ</v>
      </c>
      <c r="D1457" t="s">
        <v>1141</v>
      </c>
      <c r="E1457" t="s">
        <v>27</v>
      </c>
      <c r="F1457" t="s">
        <v>37</v>
      </c>
      <c r="G1457" t="s">
        <v>40</v>
      </c>
      <c r="H1457" t="s">
        <v>30</v>
      </c>
      <c r="I1457">
        <v>30</v>
      </c>
      <c r="J1457">
        <v>20</v>
      </c>
      <c r="K1457">
        <v>7.7</v>
      </c>
      <c r="M1457">
        <v>1.8</v>
      </c>
      <c r="O1457">
        <v>20</v>
      </c>
      <c r="P1457">
        <v>32</v>
      </c>
      <c r="T1457">
        <v>2.5</v>
      </c>
      <c r="U1457">
        <v>3.6</v>
      </c>
      <c r="V1457">
        <v>7</v>
      </c>
      <c r="W1457">
        <v>393</v>
      </c>
      <c r="X1457">
        <v>15</v>
      </c>
      <c r="Y1457" t="s">
        <v>179</v>
      </c>
    </row>
    <row r="1458" spans="1:25">
      <c r="A1458" t="s">
        <v>2417</v>
      </c>
      <c r="B1458" s="2" t="str">
        <f>Hyperlink("https://www.diodes.com/datasheet/download/DMT3020LFDF.pdf")</f>
        <v>https://www.diodes.com/datasheet/download/DMT3020LFDF.pdf</v>
      </c>
      <c r="C1458" t="str">
        <f>Hyperlink("https://www.diodes.com/part/view/DMT3020LFDF","DMT3020LFDF")</f>
        <v>DMT3020LFDF</v>
      </c>
      <c r="D1458" t="s">
        <v>666</v>
      </c>
      <c r="E1458" t="s">
        <v>30</v>
      </c>
      <c r="F1458" t="s">
        <v>28</v>
      </c>
      <c r="G1458" t="s">
        <v>29</v>
      </c>
      <c r="H1458" t="s">
        <v>30</v>
      </c>
      <c r="I1458">
        <v>30</v>
      </c>
      <c r="J1458">
        <v>20</v>
      </c>
      <c r="K1458">
        <v>8.4</v>
      </c>
      <c r="M1458">
        <v>1.8</v>
      </c>
      <c r="O1458">
        <v>17</v>
      </c>
      <c r="P1458">
        <v>28</v>
      </c>
      <c r="T1458">
        <v>2.5</v>
      </c>
      <c r="U1458">
        <v>3.6</v>
      </c>
      <c r="V1458">
        <v>7</v>
      </c>
      <c r="W1458">
        <v>393</v>
      </c>
      <c r="X1458">
        <v>15</v>
      </c>
      <c r="Y1458" t="s">
        <v>780</v>
      </c>
    </row>
    <row r="1459" spans="1:25">
      <c r="A1459" t="s">
        <v>2418</v>
      </c>
      <c r="B1459" s="2" t="str">
        <f>Hyperlink("https://www.diodes.com/datasheet/download/DMT3020LFDFQ.pdf")</f>
        <v>https://www.diodes.com/datasheet/download/DMT3020LFDFQ.pdf</v>
      </c>
      <c r="C1459" t="str">
        <f>Hyperlink("https://www.diodes.com/part/view/DMT3020LFDFQ","DMT3020LFDFQ")</f>
        <v>DMT3020LFDFQ</v>
      </c>
      <c r="D1459" t="s">
        <v>666</v>
      </c>
      <c r="E1459" t="s">
        <v>27</v>
      </c>
      <c r="F1459" t="s">
        <v>37</v>
      </c>
      <c r="G1459" t="s">
        <v>29</v>
      </c>
      <c r="H1459" t="s">
        <v>30</v>
      </c>
      <c r="I1459">
        <v>30</v>
      </c>
      <c r="J1459">
        <v>20</v>
      </c>
      <c r="K1459">
        <v>8.4</v>
      </c>
      <c r="M1459">
        <v>1.8</v>
      </c>
      <c r="O1459">
        <v>17</v>
      </c>
      <c r="P1459">
        <v>28</v>
      </c>
      <c r="T1459">
        <v>2.5</v>
      </c>
      <c r="U1459">
        <v>3.6</v>
      </c>
      <c r="V1459">
        <v>7</v>
      </c>
      <c r="W1459">
        <v>393</v>
      </c>
      <c r="X1459">
        <v>15</v>
      </c>
      <c r="Y1459" t="s">
        <v>780</v>
      </c>
    </row>
    <row r="1460" spans="1:25">
      <c r="A1460" t="s">
        <v>2419</v>
      </c>
      <c r="B1460" s="2" t="str">
        <f>Hyperlink("https://www.diodes.com/datasheet/download/DMT3020LFDFW.pdf")</f>
        <v>https://www.diodes.com/datasheet/download/DMT3020LFDFW.pdf</v>
      </c>
      <c r="C1460" t="str">
        <f>Hyperlink("https://www.diodes.com/part/view/DMT3020LFDFW","DMT3020LFDFW")</f>
        <v>DMT3020LFDFW</v>
      </c>
      <c r="D1460" t="s">
        <v>1101</v>
      </c>
      <c r="E1460" t="s">
        <v>30</v>
      </c>
      <c r="F1460" t="s">
        <v>28</v>
      </c>
      <c r="G1460" t="s">
        <v>29</v>
      </c>
      <c r="H1460" t="s">
        <v>30</v>
      </c>
      <c r="I1460">
        <v>30</v>
      </c>
      <c r="J1460">
        <v>20</v>
      </c>
      <c r="K1460">
        <v>8.4</v>
      </c>
      <c r="M1460">
        <v>1.8</v>
      </c>
      <c r="O1460">
        <v>17</v>
      </c>
      <c r="P1460">
        <v>28</v>
      </c>
      <c r="S1460">
        <v>1</v>
      </c>
      <c r="T1460">
        <v>2.5</v>
      </c>
      <c r="U1460">
        <v>3.6</v>
      </c>
      <c r="V1460">
        <v>7</v>
      </c>
      <c r="W1460">
        <v>393</v>
      </c>
      <c r="X1460">
        <v>15</v>
      </c>
      <c r="Y1460" t="s">
        <v>2420</v>
      </c>
    </row>
    <row r="1461" spans="1:25">
      <c r="A1461" t="s">
        <v>2421</v>
      </c>
      <c r="B1461" s="2" t="str">
        <f>Hyperlink("https://www.diodes.com/datasheet/download/DMT3020LFDFWQ.pdf")</f>
        <v>https://www.diodes.com/datasheet/download/DMT3020LFDFWQ.pdf</v>
      </c>
      <c r="C1461" t="str">
        <f>Hyperlink("https://www.diodes.com/part/view/DMT3020LFDFWQ","DMT3020LFDFWQ")</f>
        <v>DMT3020LFDFWQ</v>
      </c>
      <c r="D1461" t="s">
        <v>1101</v>
      </c>
      <c r="E1461" t="s">
        <v>27</v>
      </c>
      <c r="F1461" t="s">
        <v>37</v>
      </c>
      <c r="G1461" t="s">
        <v>29</v>
      </c>
      <c r="H1461" t="s">
        <v>30</v>
      </c>
      <c r="I1461">
        <v>30</v>
      </c>
      <c r="J1461">
        <v>20</v>
      </c>
      <c r="K1461">
        <v>8.4</v>
      </c>
      <c r="M1461">
        <v>1.8</v>
      </c>
      <c r="O1461">
        <v>17</v>
      </c>
      <c r="P1461">
        <v>28</v>
      </c>
      <c r="S1461">
        <v>1</v>
      </c>
      <c r="T1461">
        <v>2.5</v>
      </c>
      <c r="U1461">
        <v>3.6</v>
      </c>
      <c r="V1461">
        <v>7</v>
      </c>
      <c r="W1461">
        <v>393</v>
      </c>
      <c r="X1461">
        <v>15</v>
      </c>
      <c r="Y1461" t="s">
        <v>2420</v>
      </c>
    </row>
    <row r="1462" spans="1:25">
      <c r="A1462" t="s">
        <v>2422</v>
      </c>
      <c r="B1462" s="2" t="str">
        <f>Hyperlink("https://www.diodes.com/datasheet/download/DMT3020LFVW.pdf")</f>
        <v>https://www.diodes.com/datasheet/download/DMT3020LFVW.pdf</v>
      </c>
      <c r="C1462" t="str">
        <f>Hyperlink("https://www.diodes.com/part/view/DMT3020LFVW","DMT3020LFVW")</f>
        <v>DMT3020LFVW</v>
      </c>
      <c r="D1462" t="s">
        <v>666</v>
      </c>
      <c r="E1462" t="s">
        <v>30</v>
      </c>
      <c r="F1462" t="s">
        <v>28</v>
      </c>
      <c r="G1462" t="s">
        <v>29</v>
      </c>
      <c r="H1462" t="s">
        <v>30</v>
      </c>
      <c r="I1462">
        <v>30</v>
      </c>
      <c r="J1462">
        <v>20</v>
      </c>
      <c r="L1462">
        <v>38</v>
      </c>
      <c r="M1462">
        <v>2</v>
      </c>
      <c r="O1462">
        <v>17</v>
      </c>
      <c r="P1462">
        <v>28</v>
      </c>
      <c r="T1462">
        <v>2.5</v>
      </c>
      <c r="U1462">
        <v>3.6</v>
      </c>
      <c r="V1462">
        <v>7</v>
      </c>
      <c r="W1462">
        <v>393</v>
      </c>
      <c r="X1462">
        <v>15</v>
      </c>
      <c r="Y1462" t="s">
        <v>1109</v>
      </c>
    </row>
    <row r="1463" spans="1:25">
      <c r="A1463" t="s">
        <v>2423</v>
      </c>
      <c r="B1463" s="2" t="str">
        <f>Hyperlink("https://www.diodes.com/datasheet/download/DMT3020LSD.pdf")</f>
        <v>https://www.diodes.com/datasheet/download/DMT3020LSD.pdf</v>
      </c>
      <c r="C1463" t="str">
        <f>Hyperlink("https://www.diodes.com/part/view/DMT3020LSD","DMT3020LSD")</f>
        <v>DMT3020LSD</v>
      </c>
      <c r="D1463" t="s">
        <v>39</v>
      </c>
      <c r="E1463" t="s">
        <v>30</v>
      </c>
      <c r="F1463" t="s">
        <v>28</v>
      </c>
      <c r="G1463" t="s">
        <v>40</v>
      </c>
      <c r="H1463" t="s">
        <v>30</v>
      </c>
      <c r="I1463">
        <v>30</v>
      </c>
      <c r="J1463">
        <v>20</v>
      </c>
      <c r="L1463">
        <v>16</v>
      </c>
      <c r="M1463">
        <v>1.5</v>
      </c>
      <c r="O1463">
        <v>20</v>
      </c>
      <c r="P1463">
        <v>32</v>
      </c>
      <c r="T1463">
        <v>2.5</v>
      </c>
      <c r="U1463">
        <v>3.6</v>
      </c>
      <c r="V1463">
        <v>7</v>
      </c>
      <c r="W1463">
        <v>393</v>
      </c>
      <c r="X1463">
        <v>15</v>
      </c>
      <c r="Y1463" t="s">
        <v>213</v>
      </c>
    </row>
    <row r="1464" spans="1:25">
      <c r="A1464" t="s">
        <v>2424</v>
      </c>
      <c r="B1464" s="2" t="str">
        <f>Hyperlink("https://www.diodes.com/datasheet/download/DMT3020LSDQ.pdf")</f>
        <v>https://www.diodes.com/datasheet/download/DMT3020LSDQ.pdf</v>
      </c>
      <c r="C1464" t="str">
        <f>Hyperlink("https://www.diodes.com/part/view/DMT3020LSDQ","DMT3020LSDQ")</f>
        <v>DMT3020LSDQ</v>
      </c>
      <c r="D1464" t="s">
        <v>39</v>
      </c>
      <c r="E1464" t="s">
        <v>27</v>
      </c>
      <c r="F1464" t="s">
        <v>37</v>
      </c>
      <c r="G1464" t="s">
        <v>40</v>
      </c>
      <c r="H1464" t="s">
        <v>30</v>
      </c>
      <c r="I1464">
        <v>30</v>
      </c>
      <c r="J1464">
        <v>20</v>
      </c>
      <c r="L1464">
        <v>16</v>
      </c>
      <c r="M1464">
        <v>1.5</v>
      </c>
      <c r="O1464">
        <v>20</v>
      </c>
      <c r="P1464">
        <v>32</v>
      </c>
      <c r="T1464">
        <v>2.5</v>
      </c>
      <c r="U1464">
        <v>3.6</v>
      </c>
      <c r="V1464">
        <v>7</v>
      </c>
      <c r="W1464">
        <v>393</v>
      </c>
      <c r="X1464">
        <v>15</v>
      </c>
      <c r="Y1464" t="s">
        <v>213</v>
      </c>
    </row>
    <row r="1465" spans="1:25">
      <c r="A1465" t="s">
        <v>2425</v>
      </c>
      <c r="B1465" s="2" t="str">
        <f>Hyperlink("https://www.diodes.com/datasheet/download/DMT3020UFDB.pdf")</f>
        <v>https://www.diodes.com/datasheet/download/DMT3020UFDB.pdf</v>
      </c>
      <c r="C1465" t="str">
        <f>Hyperlink("https://www.diodes.com/part/view/DMT3020UFDB","DMT3020UFDB")</f>
        <v>DMT3020UFDB</v>
      </c>
      <c r="D1465" t="s">
        <v>39</v>
      </c>
      <c r="E1465" t="s">
        <v>30</v>
      </c>
      <c r="F1465" t="s">
        <v>28</v>
      </c>
      <c r="G1465" t="s">
        <v>40</v>
      </c>
      <c r="H1465" t="s">
        <v>27</v>
      </c>
      <c r="I1465">
        <v>30</v>
      </c>
      <c r="J1465">
        <v>12</v>
      </c>
      <c r="K1465">
        <v>6.5</v>
      </c>
      <c r="M1465">
        <v>1.3</v>
      </c>
      <c r="O1465">
        <v>21</v>
      </c>
      <c r="P1465">
        <v>30</v>
      </c>
      <c r="T1465">
        <v>1.7</v>
      </c>
      <c r="U1465">
        <v>4.6</v>
      </c>
      <c r="V1465">
        <v>8.8</v>
      </c>
      <c r="Y1465" t="s">
        <v>179</v>
      </c>
    </row>
    <row r="1466" spans="1:25">
      <c r="A1466" t="s">
        <v>2426</v>
      </c>
      <c r="B1466" s="2" t="str">
        <f>Hyperlink("https://www.diodes.com/datasheet/download/DMT3022UEV.pdf")</f>
        <v>https://www.diodes.com/datasheet/download/DMT3022UEV.pdf</v>
      </c>
      <c r="C1466" t="str">
        <f>Hyperlink("https://www.diodes.com/part/view/DMT3022UEV","DMT3022UEV")</f>
        <v>DMT3022UEV</v>
      </c>
      <c r="D1466" t="s">
        <v>26</v>
      </c>
      <c r="E1466" t="s">
        <v>30</v>
      </c>
      <c r="F1466" t="s">
        <v>28</v>
      </c>
      <c r="G1466" t="s">
        <v>40</v>
      </c>
      <c r="H1466" t="s">
        <v>27</v>
      </c>
      <c r="I1466">
        <v>30</v>
      </c>
      <c r="J1466">
        <v>12</v>
      </c>
      <c r="L1466">
        <v>17</v>
      </c>
      <c r="M1466">
        <v>1.8</v>
      </c>
      <c r="O1466">
        <v>22</v>
      </c>
      <c r="P1466">
        <v>28</v>
      </c>
      <c r="T1466">
        <v>1.8</v>
      </c>
      <c r="U1466">
        <v>6.9</v>
      </c>
      <c r="V1466">
        <v>13.9</v>
      </c>
      <c r="W1466">
        <v>903</v>
      </c>
      <c r="X1466">
        <v>15</v>
      </c>
      <c r="Y1466" t="s">
        <v>2397</v>
      </c>
    </row>
    <row r="1467" spans="1:25">
      <c r="A1467" t="s">
        <v>2427</v>
      </c>
      <c r="B1467" s="2" t="str">
        <f>Hyperlink("https://www.diodes.com/datasheet/download/DMT30M9LPS.pdf")</f>
        <v>https://www.diodes.com/datasheet/download/DMT30M9LPS.pdf</v>
      </c>
      <c r="C1467" t="str">
        <f>Hyperlink("https://www.diodes.com/part/view/DMT30M9LPS","DMT30M9LPS")</f>
        <v>DMT30M9LPS</v>
      </c>
      <c r="D1467" t="s">
        <v>666</v>
      </c>
      <c r="E1467" t="s">
        <v>30</v>
      </c>
      <c r="F1467" t="s">
        <v>28</v>
      </c>
      <c r="G1467" t="s">
        <v>29</v>
      </c>
      <c r="H1467" t="s">
        <v>30</v>
      </c>
      <c r="I1467">
        <v>30</v>
      </c>
      <c r="J1467">
        <v>20</v>
      </c>
      <c r="L1467">
        <v>100</v>
      </c>
      <c r="M1467">
        <v>2.6</v>
      </c>
      <c r="N1467">
        <v>1.1</v>
      </c>
      <c r="O1467">
        <v>1</v>
      </c>
      <c r="P1467">
        <v>1.6</v>
      </c>
      <c r="T1467">
        <v>3</v>
      </c>
      <c r="U1467">
        <v>71.3</v>
      </c>
      <c r="V1467">
        <v>160.5</v>
      </c>
      <c r="W1467">
        <v>12121</v>
      </c>
      <c r="X1467">
        <v>20</v>
      </c>
      <c r="Y1467" t="s">
        <v>907</v>
      </c>
    </row>
    <row r="1468" spans="1:25">
      <c r="A1468" t="s">
        <v>2428</v>
      </c>
      <c r="B1468" s="2" t="str">
        <f>Hyperlink("https://www.diodes.com/datasheet/download/DMT31M1LPSW.pdf")</f>
        <v>https://www.diodes.com/datasheet/download/DMT31M1LPSW.pdf</v>
      </c>
      <c r="C1468" t="str">
        <f>Hyperlink("https://www.diodes.com/part/view/DMT31M1LPSW","DMT31M1LPSW")</f>
        <v>DMT31M1LPSW</v>
      </c>
      <c r="D1468" t="s">
        <v>1101</v>
      </c>
      <c r="E1468" t="s">
        <v>30</v>
      </c>
      <c r="F1468" t="s">
        <v>28</v>
      </c>
      <c r="G1468" t="s">
        <v>29</v>
      </c>
      <c r="H1468" t="s">
        <v>30</v>
      </c>
      <c r="I1468">
        <v>30</v>
      </c>
      <c r="J1468">
        <v>20</v>
      </c>
      <c r="K1468">
        <v>40</v>
      </c>
      <c r="L1468">
        <v>130</v>
      </c>
      <c r="M1468">
        <v>3</v>
      </c>
      <c r="O1468">
        <v>0.95</v>
      </c>
      <c r="P1468">
        <v>1.5</v>
      </c>
      <c r="S1468">
        <v>1.3</v>
      </c>
      <c r="T1468">
        <v>2.3</v>
      </c>
      <c r="U1468">
        <v>39</v>
      </c>
      <c r="V1468">
        <v>86</v>
      </c>
      <c r="W1468">
        <v>5938</v>
      </c>
      <c r="X1468">
        <v>15</v>
      </c>
    </row>
    <row r="1469" spans="1:25">
      <c r="A1469" t="s">
        <v>2429</v>
      </c>
      <c r="B1469" s="2" t="str">
        <f>Hyperlink("https://www.diodes.com/datasheet/download/DMT31M1LPSWQ.pdf")</f>
        <v>https://www.diodes.com/datasheet/download/DMT31M1LPSWQ.pdf</v>
      </c>
      <c r="C1469" t="str">
        <f>Hyperlink("https://www.diodes.com/part/view/DMT31M1LPSWQ","DMT31M1LPSWQ")</f>
        <v>DMT31M1LPSWQ</v>
      </c>
      <c r="D1469" t="s">
        <v>1101</v>
      </c>
      <c r="E1469" t="s">
        <v>27</v>
      </c>
      <c r="F1469" t="s">
        <v>37</v>
      </c>
      <c r="G1469" t="s">
        <v>29</v>
      </c>
      <c r="H1469" t="s">
        <v>30</v>
      </c>
      <c r="I1469">
        <v>30</v>
      </c>
      <c r="J1469">
        <v>20</v>
      </c>
      <c r="K1469">
        <v>40</v>
      </c>
      <c r="L1469">
        <v>130</v>
      </c>
      <c r="M1469">
        <v>3</v>
      </c>
      <c r="O1469">
        <v>0.95</v>
      </c>
      <c r="P1469">
        <v>1.5</v>
      </c>
      <c r="S1469">
        <v>1.3</v>
      </c>
      <c r="T1469">
        <v>2.3</v>
      </c>
      <c r="U1469">
        <v>39</v>
      </c>
      <c r="V1469">
        <v>86</v>
      </c>
      <c r="W1469">
        <v>5938</v>
      </c>
      <c r="X1469">
        <v>15</v>
      </c>
    </row>
    <row r="1470" spans="1:25">
      <c r="A1470" t="s">
        <v>2430</v>
      </c>
      <c r="B1470" s="2" t="str">
        <f>Hyperlink("https://www.diodes.com/datasheet/download/DMT31M6LPS.pdf")</f>
        <v>https://www.diodes.com/datasheet/download/DMT31M6LPS.pdf</v>
      </c>
      <c r="C1470" t="str">
        <f>Hyperlink("https://www.diodes.com/part/view/DMT31M6LPS","DMT31M6LPS")</f>
        <v>DMT31M6LPS</v>
      </c>
      <c r="D1470" t="s">
        <v>666</v>
      </c>
      <c r="E1470" t="s">
        <v>30</v>
      </c>
      <c r="F1470" t="s">
        <v>28</v>
      </c>
      <c r="G1470" t="s">
        <v>29</v>
      </c>
      <c r="H1470" t="s">
        <v>30</v>
      </c>
      <c r="I1470">
        <v>30</v>
      </c>
      <c r="J1470">
        <v>20</v>
      </c>
      <c r="K1470">
        <v>35.8</v>
      </c>
      <c r="L1470">
        <v>150</v>
      </c>
      <c r="M1470">
        <v>2.5</v>
      </c>
      <c r="N1470">
        <v>100</v>
      </c>
      <c r="O1470">
        <v>1.35</v>
      </c>
      <c r="P1470">
        <v>2.4</v>
      </c>
      <c r="S1470">
        <v>1</v>
      </c>
      <c r="T1470">
        <v>3</v>
      </c>
      <c r="U1470">
        <v>59.1</v>
      </c>
      <c r="V1470">
        <v>123</v>
      </c>
      <c r="W1470">
        <v>7019</v>
      </c>
      <c r="X1470">
        <v>15</v>
      </c>
      <c r="Y1470" t="s">
        <v>1691</v>
      </c>
    </row>
    <row r="1471" spans="1:25">
      <c r="A1471" t="s">
        <v>2431</v>
      </c>
      <c r="B1471" s="2" t="str">
        <f>Hyperlink("https://www.diodes.com/datasheet/download/DMT31M7LPS.pdf")</f>
        <v>https://www.diodes.com/datasheet/download/DMT31M7LPS.pdf</v>
      </c>
      <c r="C1471" t="str">
        <f>Hyperlink("https://www.diodes.com/part/view/DMT31M7LPS","DMT31M7LPS")</f>
        <v>DMT31M7LPS</v>
      </c>
      <c r="D1471" t="s">
        <v>26</v>
      </c>
      <c r="E1471" t="s">
        <v>30</v>
      </c>
      <c r="F1471" t="s">
        <v>28</v>
      </c>
      <c r="G1471" t="s">
        <v>29</v>
      </c>
      <c r="H1471" t="s">
        <v>30</v>
      </c>
      <c r="I1471">
        <v>30</v>
      </c>
      <c r="J1471">
        <v>20</v>
      </c>
      <c r="K1471">
        <v>30</v>
      </c>
      <c r="L1471">
        <v>100</v>
      </c>
      <c r="M1471">
        <v>2.4</v>
      </c>
      <c r="O1471">
        <v>1.7</v>
      </c>
      <c r="P1471">
        <v>2.4</v>
      </c>
      <c r="T1471">
        <v>3</v>
      </c>
      <c r="U1471">
        <v>45</v>
      </c>
      <c r="V1471">
        <v>90</v>
      </c>
      <c r="W1471">
        <v>5741</v>
      </c>
      <c r="X1471">
        <v>15</v>
      </c>
      <c r="Y1471" t="s">
        <v>907</v>
      </c>
    </row>
    <row r="1472" spans="1:25">
      <c r="A1472" t="s">
        <v>2432</v>
      </c>
      <c r="B1472" s="2" t="str">
        <f>Hyperlink("https://www.diodes.com/datasheet/download/DMT31M7LSS.pdf")</f>
        <v>https://www.diodes.com/datasheet/download/DMT31M7LSS.pdf</v>
      </c>
      <c r="C1472" t="str">
        <f>Hyperlink("https://www.diodes.com/part/view/DMT31M7LSS","DMT31M7LSS")</f>
        <v>DMT31M7LSS</v>
      </c>
      <c r="D1472" t="s">
        <v>26</v>
      </c>
      <c r="E1472" t="s">
        <v>30</v>
      </c>
      <c r="F1472" t="s">
        <v>28</v>
      </c>
      <c r="G1472" t="s">
        <v>29</v>
      </c>
      <c r="H1472" t="s">
        <v>30</v>
      </c>
      <c r="I1472">
        <v>30</v>
      </c>
      <c r="J1472">
        <v>20</v>
      </c>
      <c r="K1472">
        <v>25</v>
      </c>
      <c r="L1472">
        <v>78</v>
      </c>
      <c r="M1472">
        <v>2.2</v>
      </c>
      <c r="O1472">
        <v>2.7</v>
      </c>
      <c r="P1472">
        <v>4</v>
      </c>
      <c r="S1472">
        <v>1</v>
      </c>
      <c r="T1472">
        <v>3</v>
      </c>
      <c r="U1472">
        <v>43</v>
      </c>
      <c r="V1472">
        <v>84</v>
      </c>
      <c r="W1472">
        <v>5492</v>
      </c>
      <c r="X1472">
        <v>15</v>
      </c>
      <c r="Y1472" t="s">
        <v>213</v>
      </c>
    </row>
    <row r="1473" spans="1:25">
      <c r="A1473" t="s">
        <v>2433</v>
      </c>
      <c r="B1473" s="2" t="str">
        <f>Hyperlink("https://www.diodes.com/datasheet/download/DMT31M8LFVW.pdf")</f>
        <v>https://www.diodes.com/datasheet/download/DMT31M8LFVW.pdf</v>
      </c>
      <c r="C1473" t="str">
        <f>Hyperlink("https://www.diodes.com/part/view/DMT31M8LFVW","DMT31M8LFVW")</f>
        <v>DMT31M8LFVW</v>
      </c>
      <c r="D1473" t="s">
        <v>1101</v>
      </c>
      <c r="E1473" t="s">
        <v>30</v>
      </c>
      <c r="F1473" t="s">
        <v>28</v>
      </c>
      <c r="G1473" t="s">
        <v>29</v>
      </c>
      <c r="H1473" t="s">
        <v>30</v>
      </c>
      <c r="I1473">
        <v>30</v>
      </c>
      <c r="J1473">
        <v>20</v>
      </c>
      <c r="K1473">
        <v>24</v>
      </c>
      <c r="L1473">
        <v>138</v>
      </c>
      <c r="M1473">
        <v>3.5</v>
      </c>
      <c r="O1473">
        <v>1.9</v>
      </c>
      <c r="P1473">
        <v>2.9</v>
      </c>
      <c r="S1473">
        <v>1.2</v>
      </c>
      <c r="T1473">
        <v>2.5</v>
      </c>
      <c r="U1473">
        <v>20.3</v>
      </c>
      <c r="V1473">
        <v>43.1</v>
      </c>
      <c r="W1473">
        <v>2979</v>
      </c>
      <c r="X1473">
        <v>15</v>
      </c>
      <c r="Y1473" t="s">
        <v>1109</v>
      </c>
    </row>
    <row r="1474" spans="1:25">
      <c r="A1474" t="s">
        <v>2434</v>
      </c>
      <c r="B1474" s="2" t="str">
        <f>Hyperlink("https://www.diodes.com/datasheet/download/DMT31M8LFVWQ.pdf")</f>
        <v>https://www.diodes.com/datasheet/download/DMT31M8LFVWQ.pdf</v>
      </c>
      <c r="C1474" t="str">
        <f>Hyperlink("https://www.diodes.com/part/view/DMT31M8LFVWQ","DMT31M8LFVWQ")</f>
        <v>DMT31M8LFVWQ</v>
      </c>
      <c r="D1474" t="s">
        <v>1101</v>
      </c>
      <c r="E1474" t="s">
        <v>27</v>
      </c>
      <c r="F1474" t="s">
        <v>37</v>
      </c>
      <c r="G1474" t="s">
        <v>29</v>
      </c>
      <c r="H1474" t="s">
        <v>30</v>
      </c>
      <c r="I1474">
        <v>30</v>
      </c>
      <c r="J1474">
        <v>20</v>
      </c>
      <c r="K1474">
        <v>24</v>
      </c>
      <c r="L1474">
        <v>138</v>
      </c>
      <c r="M1474">
        <v>3.5</v>
      </c>
      <c r="O1474">
        <v>1.9</v>
      </c>
      <c r="P1474">
        <v>2.9</v>
      </c>
      <c r="S1474">
        <v>1.2</v>
      </c>
      <c r="T1474">
        <v>2.5</v>
      </c>
      <c r="U1474">
        <v>20.3</v>
      </c>
      <c r="V1474">
        <v>43.1</v>
      </c>
      <c r="W1474">
        <v>2979</v>
      </c>
      <c r="X1474">
        <v>15</v>
      </c>
      <c r="Y1474" t="s">
        <v>1109</v>
      </c>
    </row>
    <row r="1475" spans="1:25">
      <c r="A1475" t="s">
        <v>2435</v>
      </c>
      <c r="B1475" s="2" t="str">
        <f>Hyperlink("https://www.diodes.com/datasheet/download/DMT31M9LFVW.pdf")</f>
        <v>https://www.diodes.com/datasheet/download/DMT31M9LFVW.pdf</v>
      </c>
      <c r="C1475" t="str">
        <f>Hyperlink("https://www.diodes.com/part/view/DMT31M9LFVW","DMT31M9LFVW")</f>
        <v>DMT31M9LFVW</v>
      </c>
      <c r="D1475" t="s">
        <v>1101</v>
      </c>
      <c r="E1475" t="s">
        <v>30</v>
      </c>
      <c r="F1475" t="s">
        <v>28</v>
      </c>
      <c r="G1475" t="s">
        <v>29</v>
      </c>
      <c r="H1475" t="s">
        <v>27</v>
      </c>
      <c r="I1475">
        <v>30</v>
      </c>
      <c r="J1475">
        <v>20</v>
      </c>
      <c r="K1475">
        <v>24</v>
      </c>
      <c r="L1475">
        <v>141</v>
      </c>
      <c r="M1475">
        <v>3.6</v>
      </c>
      <c r="O1475">
        <v>1.9</v>
      </c>
      <c r="P1475">
        <v>2.9</v>
      </c>
      <c r="S1475">
        <v>1.2</v>
      </c>
      <c r="T1475">
        <v>2.5</v>
      </c>
      <c r="U1475">
        <v>23.5</v>
      </c>
      <c r="V1475">
        <v>48.6</v>
      </c>
      <c r="W1475">
        <v>3160</v>
      </c>
      <c r="X1475">
        <v>15</v>
      </c>
      <c r="Y1475" t="s">
        <v>1109</v>
      </c>
    </row>
    <row r="1476" spans="1:25">
      <c r="A1476" t="s">
        <v>2436</v>
      </c>
      <c r="B1476" s="2" t="str">
        <f>Hyperlink("https://www.diodes.com/datasheet/download/DMT32M4LFG.pdf")</f>
        <v>https://www.diodes.com/datasheet/download/DMT32M4LFG.pdf</v>
      </c>
      <c r="C1476" t="str">
        <f>Hyperlink("https://www.diodes.com/part/view/DMT32M4LFG","DMT32M4LFG")</f>
        <v>DMT32M4LFG</v>
      </c>
      <c r="D1476" t="s">
        <v>666</v>
      </c>
      <c r="E1476" t="s">
        <v>30</v>
      </c>
      <c r="F1476" t="s">
        <v>28</v>
      </c>
      <c r="G1476" t="s">
        <v>29</v>
      </c>
      <c r="H1476" t="s">
        <v>30</v>
      </c>
      <c r="I1476">
        <v>30</v>
      </c>
      <c r="J1476">
        <v>20</v>
      </c>
      <c r="K1476">
        <v>30</v>
      </c>
      <c r="L1476">
        <v>100</v>
      </c>
      <c r="M1476">
        <v>1.1</v>
      </c>
      <c r="N1476">
        <v>2.6</v>
      </c>
      <c r="O1476">
        <v>1.7</v>
      </c>
      <c r="P1476">
        <v>2.8</v>
      </c>
      <c r="T1476">
        <v>3</v>
      </c>
      <c r="U1476">
        <v>35.4</v>
      </c>
      <c r="V1476">
        <v>75</v>
      </c>
      <c r="W1476">
        <v>4366</v>
      </c>
      <c r="X1476">
        <v>15</v>
      </c>
      <c r="Y1476" t="s">
        <v>718</v>
      </c>
    </row>
    <row r="1477" spans="1:25">
      <c r="A1477" t="s">
        <v>2437</v>
      </c>
      <c r="B1477" s="2" t="str">
        <f>Hyperlink("https://www.diodes.com/datasheet/download/DMT32M4LPSW.pdf")</f>
        <v>https://www.diodes.com/datasheet/download/DMT32M4LPSW.pdf</v>
      </c>
      <c r="C1477" t="str">
        <f>Hyperlink("https://www.diodes.com/part/view/DMT32M4LPSW","DMT32M4LPSW")</f>
        <v>DMT32M4LPSW</v>
      </c>
      <c r="D1477" t="s">
        <v>666</v>
      </c>
      <c r="E1477" t="s">
        <v>30</v>
      </c>
      <c r="F1477" t="s">
        <v>28</v>
      </c>
      <c r="G1477" t="s">
        <v>29</v>
      </c>
      <c r="H1477" t="s">
        <v>30</v>
      </c>
      <c r="I1477">
        <v>30</v>
      </c>
      <c r="J1477">
        <v>20</v>
      </c>
      <c r="L1477">
        <v>100</v>
      </c>
      <c r="M1477">
        <v>2.3</v>
      </c>
      <c r="N1477">
        <v>83</v>
      </c>
      <c r="O1477">
        <v>1.7</v>
      </c>
      <c r="P1477">
        <v>2.8</v>
      </c>
      <c r="S1477">
        <v>1</v>
      </c>
      <c r="T1477">
        <v>3</v>
      </c>
      <c r="U1477">
        <v>34</v>
      </c>
      <c r="V1477">
        <v>68</v>
      </c>
      <c r="W1477">
        <v>3944</v>
      </c>
      <c r="X1477">
        <v>15</v>
      </c>
      <c r="Y1477" t="s">
        <v>1546</v>
      </c>
    </row>
    <row r="1478" spans="1:25">
      <c r="A1478" t="s">
        <v>2438</v>
      </c>
      <c r="B1478" s="2" t="str">
        <f>Hyperlink("https://www.diodes.com/datasheet/download/DMT32M5LFG.pdf")</f>
        <v>https://www.diodes.com/datasheet/download/DMT32M5LFG.pdf</v>
      </c>
      <c r="C1478" t="str">
        <f>Hyperlink("https://www.diodes.com/part/view/DMT32M5LFG","DMT32M5LFG")</f>
        <v>DMT32M5LFG</v>
      </c>
      <c r="D1478" t="s">
        <v>666</v>
      </c>
      <c r="E1478" t="s">
        <v>30</v>
      </c>
      <c r="F1478" t="s">
        <v>28</v>
      </c>
      <c r="G1478" t="s">
        <v>29</v>
      </c>
      <c r="H1478" t="s">
        <v>30</v>
      </c>
      <c r="I1478">
        <v>30</v>
      </c>
      <c r="J1478">
        <v>20</v>
      </c>
      <c r="K1478">
        <v>30</v>
      </c>
      <c r="L1478">
        <v>100</v>
      </c>
      <c r="M1478">
        <v>2.3</v>
      </c>
      <c r="N1478">
        <v>50</v>
      </c>
      <c r="O1478">
        <v>1.7</v>
      </c>
      <c r="P1478">
        <v>2.8</v>
      </c>
      <c r="T1478">
        <v>3</v>
      </c>
      <c r="U1478">
        <v>34</v>
      </c>
      <c r="V1478">
        <v>67.7</v>
      </c>
      <c r="W1478">
        <v>4066</v>
      </c>
      <c r="X1478">
        <v>15</v>
      </c>
      <c r="Y1478" t="s">
        <v>718</v>
      </c>
    </row>
    <row r="1479" spans="1:25">
      <c r="A1479" t="s">
        <v>2439</v>
      </c>
      <c r="B1479" s="2" t="str">
        <f>Hyperlink("https://www.diodes.com/datasheet/download/DMT32M5LPS.pdf")</f>
        <v>https://www.diodes.com/datasheet/download/DMT32M5LPS.pdf</v>
      </c>
      <c r="C1479" t="str">
        <f>Hyperlink("https://www.diodes.com/part/view/DMT32M5LPS","DMT32M5LPS")</f>
        <v>DMT32M5LPS</v>
      </c>
      <c r="D1479" t="s">
        <v>666</v>
      </c>
      <c r="E1479" t="s">
        <v>30</v>
      </c>
      <c r="F1479" t="s">
        <v>28</v>
      </c>
      <c r="G1479" t="s">
        <v>29</v>
      </c>
      <c r="H1479" t="s">
        <v>30</v>
      </c>
      <c r="I1479">
        <v>30</v>
      </c>
      <c r="J1479">
        <v>20</v>
      </c>
      <c r="L1479">
        <v>150</v>
      </c>
      <c r="M1479">
        <v>3.2</v>
      </c>
      <c r="N1479">
        <v>100</v>
      </c>
      <c r="O1479">
        <v>2</v>
      </c>
      <c r="P1479">
        <v>3</v>
      </c>
      <c r="T1479">
        <v>3</v>
      </c>
      <c r="U1479">
        <v>34</v>
      </c>
      <c r="V1479">
        <v>68</v>
      </c>
      <c r="W1479">
        <v>3944</v>
      </c>
      <c r="X1479">
        <v>25</v>
      </c>
      <c r="Y1479" t="s">
        <v>907</v>
      </c>
    </row>
    <row r="1480" spans="1:25">
      <c r="A1480" t="s">
        <v>2440</v>
      </c>
      <c r="B1480" s="2" t="str">
        <f>Hyperlink("https://www.diodes.com/datasheet/download/DMT32M5LPSW.pdf")</f>
        <v>https://www.diodes.com/datasheet/download/DMT32M5LPSW.pdf</v>
      </c>
      <c r="C1480" t="str">
        <f>Hyperlink("https://www.diodes.com/part/view/DMT32M5LPSW","DMT32M5LPSW")</f>
        <v>DMT32M5LPSW</v>
      </c>
      <c r="D1480" t="s">
        <v>666</v>
      </c>
      <c r="E1480" t="s">
        <v>30</v>
      </c>
      <c r="F1480" t="s">
        <v>28</v>
      </c>
      <c r="G1480" t="s">
        <v>29</v>
      </c>
      <c r="H1480" t="s">
        <v>30</v>
      </c>
      <c r="I1480">
        <v>30</v>
      </c>
      <c r="J1480">
        <v>20</v>
      </c>
      <c r="L1480">
        <v>100</v>
      </c>
      <c r="M1480">
        <v>3.2</v>
      </c>
      <c r="N1480">
        <v>100</v>
      </c>
      <c r="O1480">
        <v>2</v>
      </c>
      <c r="P1480">
        <v>3</v>
      </c>
      <c r="T1480">
        <v>3</v>
      </c>
      <c r="U1480">
        <v>34</v>
      </c>
      <c r="V1480">
        <v>68</v>
      </c>
      <c r="W1480">
        <v>4389</v>
      </c>
      <c r="X1480">
        <v>15</v>
      </c>
      <c r="Y1480" t="s">
        <v>1546</v>
      </c>
    </row>
    <row r="1481" spans="1:25">
      <c r="A1481" t="s">
        <v>2441</v>
      </c>
      <c r="B1481" s="2" t="str">
        <f>Hyperlink("https://www.diodes.com/datasheet/download/DMT32M6LDG.pdf")</f>
        <v>https://www.diodes.com/datasheet/download/DMT32M6LDG.pdf</v>
      </c>
      <c r="C1481" t="str">
        <f>Hyperlink("https://www.diodes.com/part/view/DMT32M6LDG","DMT32M6LDG")</f>
        <v>DMT32M6LDG</v>
      </c>
      <c r="D1481" t="s">
        <v>2442</v>
      </c>
      <c r="E1481" t="s">
        <v>30</v>
      </c>
      <c r="F1481" t="s">
        <v>28</v>
      </c>
      <c r="G1481" t="s">
        <v>40</v>
      </c>
      <c r="H1481" t="s">
        <v>30</v>
      </c>
      <c r="I1481">
        <v>30</v>
      </c>
      <c r="J1481" t="s">
        <v>2443</v>
      </c>
      <c r="K1481">
        <v>21</v>
      </c>
      <c r="L1481">
        <v>47</v>
      </c>
      <c r="M1481">
        <v>1.1</v>
      </c>
      <c r="O1481" t="s">
        <v>2444</v>
      </c>
      <c r="P1481" t="s">
        <v>2445</v>
      </c>
      <c r="S1481">
        <v>1</v>
      </c>
      <c r="T1481">
        <v>2.2</v>
      </c>
      <c r="U1481" t="s">
        <v>2446</v>
      </c>
      <c r="V1481" t="s">
        <v>2447</v>
      </c>
      <c r="W1481" t="s">
        <v>2448</v>
      </c>
      <c r="X1481">
        <v>15</v>
      </c>
      <c r="Y1481" t="s">
        <v>2449</v>
      </c>
    </row>
    <row r="1482" spans="1:25">
      <c r="A1482" t="s">
        <v>2450</v>
      </c>
      <c r="B1482" s="2" t="str">
        <f>Hyperlink("https://www.diodes.com/datasheet/download/DMT34M1LPS.pdf")</f>
        <v>https://www.diodes.com/datasheet/download/DMT34M1LPS.pdf</v>
      </c>
      <c r="C1482" t="str">
        <f>Hyperlink("https://www.diodes.com/part/view/DMT34M1LPS","DMT34M1LPS")</f>
        <v>DMT34M1LPS</v>
      </c>
      <c r="D1482" t="s">
        <v>26</v>
      </c>
      <c r="E1482" t="s">
        <v>30</v>
      </c>
      <c r="F1482" t="s">
        <v>28</v>
      </c>
      <c r="G1482" t="s">
        <v>29</v>
      </c>
      <c r="H1482" t="s">
        <v>30</v>
      </c>
      <c r="I1482">
        <v>30</v>
      </c>
      <c r="J1482">
        <v>20</v>
      </c>
      <c r="K1482">
        <v>21</v>
      </c>
      <c r="L1482">
        <v>100</v>
      </c>
      <c r="M1482">
        <v>2.2</v>
      </c>
      <c r="N1482">
        <v>42</v>
      </c>
      <c r="O1482">
        <v>3.2</v>
      </c>
      <c r="P1482">
        <v>5.2</v>
      </c>
      <c r="T1482">
        <v>3</v>
      </c>
      <c r="U1482">
        <v>20</v>
      </c>
      <c r="V1482">
        <v>39</v>
      </c>
      <c r="W1482">
        <v>2242</v>
      </c>
      <c r="X1482">
        <v>15</v>
      </c>
      <c r="Y1482" t="s">
        <v>907</v>
      </c>
    </row>
    <row r="1483" spans="1:25">
      <c r="A1483" t="s">
        <v>2451</v>
      </c>
      <c r="B1483" s="2" t="str">
        <f>Hyperlink("https://www.diodes.com/datasheet/download/DMT34M8LFDE.pdf")</f>
        <v>https://www.diodes.com/datasheet/download/DMT34M8LFDE.pdf</v>
      </c>
      <c r="C1483" t="str">
        <f>Hyperlink("https://www.diodes.com/part/view/DMT34M8LFDE","DMT34M8LFDE")</f>
        <v>DMT34M8LFDE</v>
      </c>
      <c r="D1483" t="s">
        <v>1101</v>
      </c>
      <c r="E1483" t="s">
        <v>30</v>
      </c>
      <c r="F1483" t="s">
        <v>28</v>
      </c>
      <c r="G1483" t="s">
        <v>29</v>
      </c>
      <c r="H1483" t="s">
        <v>30</v>
      </c>
      <c r="I1483">
        <v>30</v>
      </c>
      <c r="J1483">
        <v>20</v>
      </c>
      <c r="K1483">
        <v>19</v>
      </c>
      <c r="M1483">
        <v>2.2</v>
      </c>
      <c r="O1483">
        <v>4</v>
      </c>
      <c r="P1483">
        <v>7.25</v>
      </c>
      <c r="S1483">
        <v>1</v>
      </c>
      <c r="T1483">
        <v>2.5</v>
      </c>
      <c r="U1483">
        <v>7.3</v>
      </c>
      <c r="V1483">
        <v>15.4</v>
      </c>
      <c r="W1483">
        <v>1024</v>
      </c>
      <c r="X1483">
        <v>15</v>
      </c>
      <c r="Y1483" t="s">
        <v>778</v>
      </c>
    </row>
    <row r="1484" spans="1:25">
      <c r="A1484" t="s">
        <v>2452</v>
      </c>
      <c r="B1484" s="2" t="str">
        <f>Hyperlink("https://www.diodes.com/datasheet/download/DMT35M4LFDF.pdf")</f>
        <v>https://www.diodes.com/datasheet/download/DMT35M4LFDF.pdf</v>
      </c>
      <c r="C1484" t="str">
        <f>Hyperlink("https://www.diodes.com/part/view/DMT35M4LFDF","DMT35M4LFDF")</f>
        <v>DMT35M4LFDF</v>
      </c>
      <c r="D1484" t="s">
        <v>666</v>
      </c>
      <c r="E1484" t="s">
        <v>30</v>
      </c>
      <c r="F1484" t="s">
        <v>28</v>
      </c>
      <c r="G1484" t="s">
        <v>29</v>
      </c>
      <c r="H1484" t="s">
        <v>30</v>
      </c>
      <c r="I1484">
        <v>30</v>
      </c>
      <c r="J1484">
        <v>20</v>
      </c>
      <c r="K1484">
        <v>13</v>
      </c>
      <c r="M1484">
        <v>1.7</v>
      </c>
      <c r="N1484">
        <v>18.7</v>
      </c>
      <c r="O1484">
        <v>6</v>
      </c>
      <c r="P1484">
        <v>10.5</v>
      </c>
      <c r="T1484">
        <v>2.5</v>
      </c>
      <c r="U1484">
        <v>8.1</v>
      </c>
      <c r="V1484">
        <v>14.9</v>
      </c>
      <c r="W1484">
        <v>1009</v>
      </c>
      <c r="X1484">
        <v>15</v>
      </c>
      <c r="Y1484" t="s">
        <v>780</v>
      </c>
    </row>
    <row r="1485" spans="1:25">
      <c r="A1485" t="s">
        <v>2453</v>
      </c>
      <c r="B1485" s="2" t="str">
        <f>Hyperlink("https://www.diodes.com/datasheet/download/DMT35M4LFDF4.pdf")</f>
        <v>https://www.diodes.com/datasheet/download/DMT35M4LFDF4.pdf</v>
      </c>
      <c r="C1485" t="str">
        <f>Hyperlink("https://www.diodes.com/part/view/DMT35M4LFDF4","DMT35M4LFDF4")</f>
        <v>DMT35M4LFDF4</v>
      </c>
      <c r="D1485" t="s">
        <v>666</v>
      </c>
      <c r="E1485" t="s">
        <v>30</v>
      </c>
      <c r="F1485" t="s">
        <v>28</v>
      </c>
      <c r="G1485" t="s">
        <v>29</v>
      </c>
      <c r="H1485" t="s">
        <v>30</v>
      </c>
      <c r="I1485">
        <v>30</v>
      </c>
      <c r="J1485">
        <v>20</v>
      </c>
      <c r="K1485">
        <v>12</v>
      </c>
      <c r="M1485">
        <v>2.19</v>
      </c>
      <c r="O1485">
        <v>9</v>
      </c>
      <c r="S1485">
        <v>1.15</v>
      </c>
      <c r="T1485">
        <v>2.5</v>
      </c>
      <c r="U1485">
        <v>8.1</v>
      </c>
      <c r="V1485">
        <v>14.9</v>
      </c>
      <c r="W1485">
        <v>1009</v>
      </c>
      <c r="X1485">
        <v>15</v>
      </c>
      <c r="Y1485" t="s">
        <v>2338</v>
      </c>
    </row>
    <row r="1486" spans="1:25">
      <c r="A1486" t="s">
        <v>2454</v>
      </c>
      <c r="B1486" s="2" t="str">
        <f>Hyperlink("https://www.diodes.com/datasheet/download/DMT35M4LFVW.pdf")</f>
        <v>https://www.diodes.com/datasheet/download/DMT35M4LFVW.pdf</v>
      </c>
      <c r="C1486" t="str">
        <f>Hyperlink("https://www.diodes.com/part/view/DMT35M4LFVW","DMT35M4LFVW")</f>
        <v>DMT35M4LFVW</v>
      </c>
      <c r="D1486" t="s">
        <v>666</v>
      </c>
      <c r="E1486" t="s">
        <v>30</v>
      </c>
      <c r="F1486" t="s">
        <v>28</v>
      </c>
      <c r="G1486" t="s">
        <v>29</v>
      </c>
      <c r="H1486" t="s">
        <v>30</v>
      </c>
      <c r="I1486">
        <v>30</v>
      </c>
      <c r="J1486">
        <v>20</v>
      </c>
      <c r="L1486">
        <v>60</v>
      </c>
      <c r="M1486">
        <v>2.2</v>
      </c>
      <c r="O1486">
        <v>6</v>
      </c>
      <c r="P1486">
        <v>9</v>
      </c>
      <c r="T1486">
        <v>2.5</v>
      </c>
      <c r="U1486">
        <v>7.9</v>
      </c>
      <c r="V1486">
        <v>16.1</v>
      </c>
      <c r="W1486">
        <v>982</v>
      </c>
      <c r="X1486">
        <v>15</v>
      </c>
      <c r="Y1486" t="s">
        <v>1109</v>
      </c>
    </row>
    <row r="1487" spans="1:25">
      <c r="A1487" t="s">
        <v>2455</v>
      </c>
      <c r="B1487" s="2" t="str">
        <f>Hyperlink("https://www.diodes.com/datasheet/download/DMT35M4LPSW.pdf")</f>
        <v>https://www.diodes.com/datasheet/download/DMT35M4LPSW.pdf</v>
      </c>
      <c r="C1487" t="str">
        <f>Hyperlink("https://www.diodes.com/part/view/DMT35M4LPSW","DMT35M4LPSW")</f>
        <v>DMT35M4LPSW</v>
      </c>
      <c r="D1487" t="s">
        <v>849</v>
      </c>
      <c r="E1487" t="s">
        <v>30</v>
      </c>
      <c r="F1487" t="s">
        <v>28</v>
      </c>
      <c r="G1487" t="s">
        <v>29</v>
      </c>
      <c r="H1487" t="s">
        <v>30</v>
      </c>
      <c r="I1487">
        <v>30</v>
      </c>
      <c r="J1487">
        <v>20</v>
      </c>
      <c r="L1487">
        <v>71.1</v>
      </c>
      <c r="M1487">
        <v>2.9</v>
      </c>
      <c r="N1487">
        <v>3</v>
      </c>
      <c r="O1487">
        <v>5.5</v>
      </c>
      <c r="P1487">
        <v>9.6</v>
      </c>
      <c r="T1487">
        <v>2.5</v>
      </c>
      <c r="U1487">
        <v>7.9</v>
      </c>
      <c r="V1487">
        <v>16</v>
      </c>
      <c r="W1487">
        <v>1029</v>
      </c>
      <c r="X1487">
        <v>15</v>
      </c>
      <c r="Y1487" t="s">
        <v>1546</v>
      </c>
    </row>
    <row r="1488" spans="1:25">
      <c r="A1488" t="s">
        <v>2456</v>
      </c>
      <c r="B1488" s="2" t="str">
        <f>Hyperlink("https://www.diodes.com/datasheet/download/DMT35M7LFV.pdf")</f>
        <v>https://www.diodes.com/datasheet/download/DMT35M7LFV.pdf</v>
      </c>
      <c r="C1488" t="str">
        <f>Hyperlink("https://www.diodes.com/part/view/DMT35M7LFV","DMT35M7LFV")</f>
        <v>DMT35M7LFV</v>
      </c>
      <c r="D1488" t="s">
        <v>666</v>
      </c>
      <c r="E1488" t="s">
        <v>30</v>
      </c>
      <c r="F1488" t="s">
        <v>28</v>
      </c>
      <c r="G1488" t="s">
        <v>29</v>
      </c>
      <c r="H1488" t="s">
        <v>27</v>
      </c>
      <c r="I1488">
        <v>30</v>
      </c>
      <c r="J1488">
        <v>20</v>
      </c>
      <c r="L1488">
        <v>76</v>
      </c>
      <c r="M1488">
        <v>1.98</v>
      </c>
      <c r="O1488">
        <v>5</v>
      </c>
      <c r="P1488">
        <v>8.6</v>
      </c>
      <c r="T1488">
        <v>2.4</v>
      </c>
      <c r="U1488">
        <v>21</v>
      </c>
      <c r="V1488">
        <v>36</v>
      </c>
      <c r="W1488">
        <v>1667</v>
      </c>
      <c r="X1488">
        <v>15</v>
      </c>
      <c r="Y1488" t="s">
        <v>783</v>
      </c>
    </row>
    <row r="1489" spans="1:25">
      <c r="A1489" t="s">
        <v>2457</v>
      </c>
      <c r="B1489" s="2" t="str">
        <f>Hyperlink("https://www.diodes.com/datasheet/download/DMT35M8LDG.pdf")</f>
        <v>https://www.diodes.com/datasheet/download/DMT35M8LDG.pdf</v>
      </c>
      <c r="C1489" t="str">
        <f>Hyperlink("https://www.diodes.com/part/view/DMT35M8LDG","DMT35M8LDG")</f>
        <v>DMT35M8LDG</v>
      </c>
      <c r="D1489" t="s">
        <v>2357</v>
      </c>
      <c r="E1489" t="s">
        <v>30</v>
      </c>
      <c r="F1489" t="s">
        <v>28</v>
      </c>
      <c r="G1489" t="s">
        <v>40</v>
      </c>
      <c r="H1489" t="s">
        <v>30</v>
      </c>
      <c r="I1489">
        <v>30</v>
      </c>
      <c r="J1489">
        <v>12</v>
      </c>
      <c r="K1489" t="s">
        <v>2458</v>
      </c>
      <c r="M1489">
        <v>0.98</v>
      </c>
      <c r="O1489" t="s">
        <v>2459</v>
      </c>
      <c r="P1489" t="s">
        <v>2460</v>
      </c>
      <c r="S1489">
        <v>1</v>
      </c>
      <c r="T1489">
        <v>1.9</v>
      </c>
      <c r="U1489" t="s">
        <v>2461</v>
      </c>
      <c r="V1489" t="s">
        <v>2462</v>
      </c>
      <c r="W1489" t="s">
        <v>2463</v>
      </c>
      <c r="X1489">
        <v>15</v>
      </c>
      <c r="Y1489" t="s">
        <v>2449</v>
      </c>
    </row>
    <row r="1490" spans="1:25">
      <c r="A1490" t="s">
        <v>2464</v>
      </c>
      <c r="B1490" s="2" t="str">
        <f>Hyperlink("https://www.diodes.com/datasheet/download/DMT36M1LPS.pdf")</f>
        <v>https://www.diodes.com/datasheet/download/DMT36M1LPS.pdf</v>
      </c>
      <c r="C1490" t="str">
        <f>Hyperlink("https://www.diodes.com/part/view/DMT36M1LPS","DMT36M1LPS")</f>
        <v>DMT36M1LPS</v>
      </c>
      <c r="D1490" t="s">
        <v>26</v>
      </c>
      <c r="E1490" t="s">
        <v>30</v>
      </c>
      <c r="F1490" t="s">
        <v>28</v>
      </c>
      <c r="G1490" t="s">
        <v>29</v>
      </c>
      <c r="H1490" t="s">
        <v>30</v>
      </c>
      <c r="I1490">
        <v>30</v>
      </c>
      <c r="J1490">
        <v>20</v>
      </c>
      <c r="K1490">
        <v>16</v>
      </c>
      <c r="L1490">
        <v>65</v>
      </c>
      <c r="M1490">
        <v>2.6</v>
      </c>
      <c r="N1490">
        <v>42</v>
      </c>
      <c r="O1490">
        <v>6</v>
      </c>
      <c r="P1490">
        <v>9.8</v>
      </c>
      <c r="T1490">
        <v>3</v>
      </c>
      <c r="U1490">
        <v>8.4</v>
      </c>
      <c r="V1490">
        <v>16.7</v>
      </c>
      <c r="W1490">
        <v>1155</v>
      </c>
      <c r="X1490">
        <v>15</v>
      </c>
      <c r="Y1490" t="s">
        <v>907</v>
      </c>
    </row>
    <row r="1491" spans="1:25">
      <c r="A1491" t="s">
        <v>2465</v>
      </c>
      <c r="B1491" s="2" t="str">
        <f>Hyperlink("https://www.diodes.com/datasheet/download/DMT3M70LPSW.pdf")</f>
        <v>https://www.diodes.com/datasheet/download/DMT3M70LPSW.pdf</v>
      </c>
      <c r="C1491" t="str">
        <f>Hyperlink("https://www.diodes.com/part/view/DMT3M70LPSW","DMT3M70LPSW")</f>
        <v>DMT3M70LPSW</v>
      </c>
      <c r="D1491" t="s">
        <v>1101</v>
      </c>
      <c r="E1491" t="s">
        <v>30</v>
      </c>
      <c r="F1491" t="s">
        <v>28</v>
      </c>
      <c r="G1491" t="s">
        <v>29</v>
      </c>
      <c r="H1491" t="s">
        <v>30</v>
      </c>
      <c r="I1491">
        <v>30</v>
      </c>
      <c r="J1491">
        <v>20</v>
      </c>
      <c r="K1491">
        <v>61</v>
      </c>
      <c r="L1491">
        <v>150</v>
      </c>
      <c r="M1491">
        <v>3.85</v>
      </c>
      <c r="O1491">
        <v>0.68</v>
      </c>
      <c r="P1491">
        <v>1.1</v>
      </c>
      <c r="S1491">
        <v>1</v>
      </c>
      <c r="T1491">
        <v>3</v>
      </c>
      <c r="U1491">
        <v>69.4</v>
      </c>
      <c r="V1491">
        <v>152.7</v>
      </c>
      <c r="W1491">
        <v>11112</v>
      </c>
      <c r="X1491">
        <v>15</v>
      </c>
      <c r="Y1491" t="s">
        <v>1546</v>
      </c>
    </row>
    <row r="1492" spans="1:25">
      <c r="A1492" t="s">
        <v>2466</v>
      </c>
      <c r="B1492" s="2" t="str">
        <f>Hyperlink("https://www.diodes.com/datasheet/download/DMT3M70LPSWQ.pdf")</f>
        <v>https://www.diodes.com/datasheet/download/DMT3M70LPSWQ.pdf</v>
      </c>
      <c r="C1492" t="str">
        <f>Hyperlink("https://www.diodes.com/part/view/DMT3M70LPSWQ","DMT3M70LPSWQ")</f>
        <v>DMT3M70LPSWQ</v>
      </c>
      <c r="D1492" t="s">
        <v>1101</v>
      </c>
      <c r="E1492" t="s">
        <v>27</v>
      </c>
      <c r="F1492" t="s">
        <v>37</v>
      </c>
      <c r="G1492" t="s">
        <v>29</v>
      </c>
      <c r="H1492" t="s">
        <v>30</v>
      </c>
      <c r="I1492">
        <v>30</v>
      </c>
      <c r="J1492">
        <v>20</v>
      </c>
      <c r="K1492">
        <v>61</v>
      </c>
      <c r="L1492">
        <v>150</v>
      </c>
      <c r="M1492">
        <v>3.85</v>
      </c>
      <c r="O1492">
        <v>0.55</v>
      </c>
      <c r="P1492">
        <v>0.95</v>
      </c>
      <c r="S1492">
        <v>1</v>
      </c>
      <c r="T1492">
        <v>3</v>
      </c>
      <c r="U1492">
        <v>69.4</v>
      </c>
      <c r="V1492">
        <v>152.7</v>
      </c>
      <c r="W1492">
        <v>11112</v>
      </c>
      <c r="X1492">
        <v>15</v>
      </c>
      <c r="Y1492" t="s">
        <v>1546</v>
      </c>
    </row>
    <row r="1493" spans="1:25">
      <c r="A1493" t="s">
        <v>2467</v>
      </c>
      <c r="B1493" s="2" t="str">
        <f>Hyperlink("https://www.diodes.com/datasheet/download/DMT4002LPS.pdf")</f>
        <v>https://www.diodes.com/datasheet/download/DMT4002LPS.pdf</v>
      </c>
      <c r="C1493" t="str">
        <f>Hyperlink("https://www.diodes.com/part/view/DMT4002LPS","DMT4002LPS")</f>
        <v>DMT4002LPS</v>
      </c>
      <c r="D1493" t="s">
        <v>1314</v>
      </c>
      <c r="E1493" t="s">
        <v>30</v>
      </c>
      <c r="F1493" t="s">
        <v>28</v>
      </c>
      <c r="G1493" t="s">
        <v>29</v>
      </c>
      <c r="H1493" t="s">
        <v>30</v>
      </c>
      <c r="I1493">
        <v>40</v>
      </c>
      <c r="J1493">
        <v>20</v>
      </c>
      <c r="L1493">
        <v>100</v>
      </c>
      <c r="M1493">
        <v>2.3</v>
      </c>
      <c r="N1493">
        <v>104</v>
      </c>
      <c r="O1493">
        <v>1.8</v>
      </c>
      <c r="P1493">
        <v>3.1</v>
      </c>
      <c r="T1493">
        <v>3</v>
      </c>
      <c r="U1493">
        <v>55.2</v>
      </c>
      <c r="V1493">
        <v>116.1</v>
      </c>
      <c r="W1493">
        <v>6771</v>
      </c>
      <c r="X1493">
        <v>20</v>
      </c>
      <c r="Y1493" t="s">
        <v>907</v>
      </c>
    </row>
    <row r="1494" spans="1:25">
      <c r="A1494" t="s">
        <v>2468</v>
      </c>
      <c r="B1494" s="2" t="str">
        <f>Hyperlink("https://www.diodes.com/datasheet/download/DMT4003SCT.pdf")</f>
        <v>https://www.diodes.com/datasheet/download/DMT4003SCT.pdf</v>
      </c>
      <c r="C1494" t="str">
        <f>Hyperlink("https://www.diodes.com/part/view/DMT4003SCT","DMT4003SCT")</f>
        <v>DMT4003SCT</v>
      </c>
      <c r="D1494" t="s">
        <v>1314</v>
      </c>
      <c r="E1494" t="s">
        <v>30</v>
      </c>
      <c r="F1494" t="s">
        <v>28</v>
      </c>
      <c r="G1494" t="s">
        <v>29</v>
      </c>
      <c r="H1494" t="s">
        <v>30</v>
      </c>
      <c r="I1494">
        <v>40</v>
      </c>
      <c r="J1494">
        <v>20</v>
      </c>
      <c r="L1494">
        <v>205</v>
      </c>
      <c r="M1494">
        <v>2.4</v>
      </c>
      <c r="N1494">
        <v>156</v>
      </c>
      <c r="O1494">
        <v>3</v>
      </c>
      <c r="T1494">
        <v>4</v>
      </c>
      <c r="V1494">
        <v>75.6</v>
      </c>
      <c r="W1494">
        <v>6865</v>
      </c>
      <c r="X1494">
        <v>20</v>
      </c>
      <c r="Y1494" t="s">
        <v>1535</v>
      </c>
    </row>
    <row r="1495" spans="1:25">
      <c r="A1495" t="s">
        <v>2469</v>
      </c>
      <c r="B1495" s="2" t="str">
        <f>Hyperlink("https://www.diodes.com/datasheet/download/DMT4004LPS.pdf")</f>
        <v>https://www.diodes.com/datasheet/download/DMT4004LPS.pdf</v>
      </c>
      <c r="C1495" t="str">
        <f>Hyperlink("https://www.diodes.com/part/view/DMT4004LPS","DMT4004LPS")</f>
        <v>DMT4004LPS</v>
      </c>
      <c r="D1495" t="s">
        <v>1314</v>
      </c>
      <c r="E1495" t="s">
        <v>27</v>
      </c>
      <c r="F1495" t="s">
        <v>28</v>
      </c>
      <c r="G1495" t="s">
        <v>29</v>
      </c>
      <c r="H1495" t="s">
        <v>30</v>
      </c>
      <c r="I1495">
        <v>40</v>
      </c>
      <c r="J1495">
        <v>20</v>
      </c>
      <c r="K1495">
        <v>26</v>
      </c>
      <c r="L1495">
        <v>90</v>
      </c>
      <c r="M1495">
        <v>2.6</v>
      </c>
      <c r="N1495">
        <v>138</v>
      </c>
      <c r="O1495">
        <v>2.5</v>
      </c>
      <c r="P1495">
        <v>4</v>
      </c>
      <c r="T1495">
        <v>3</v>
      </c>
      <c r="U1495">
        <v>34.6</v>
      </c>
      <c r="V1495">
        <v>82.2</v>
      </c>
      <c r="W1495">
        <v>4450</v>
      </c>
      <c r="X1495">
        <v>25</v>
      </c>
      <c r="Y1495" t="s">
        <v>907</v>
      </c>
    </row>
    <row r="1496" spans="1:25">
      <c r="A1496" t="s">
        <v>2470</v>
      </c>
      <c r="B1496" s="2" t="str">
        <f>Hyperlink("https://www.diodes.com/datasheet/download/DMT4005SCT.pdf")</f>
        <v>https://www.diodes.com/datasheet/download/DMT4005SCT.pdf</v>
      </c>
      <c r="C1496" t="str">
        <f>Hyperlink("https://www.diodes.com/part/view/DMT4005SCT","DMT4005SCT")</f>
        <v>DMT4005SCT</v>
      </c>
      <c r="D1496" t="s">
        <v>1314</v>
      </c>
      <c r="E1496" t="s">
        <v>27</v>
      </c>
      <c r="F1496" t="s">
        <v>28</v>
      </c>
      <c r="G1496" t="s">
        <v>29</v>
      </c>
      <c r="H1496" t="s">
        <v>30</v>
      </c>
      <c r="I1496">
        <v>40</v>
      </c>
      <c r="J1496">
        <v>20</v>
      </c>
      <c r="L1496">
        <v>100</v>
      </c>
      <c r="M1496">
        <v>2.3</v>
      </c>
      <c r="N1496">
        <v>104</v>
      </c>
      <c r="O1496">
        <v>4.7</v>
      </c>
      <c r="T1496">
        <v>4</v>
      </c>
      <c r="V1496">
        <v>49.1</v>
      </c>
      <c r="W1496">
        <v>3062</v>
      </c>
      <c r="X1496">
        <v>20</v>
      </c>
      <c r="Y1496" t="s">
        <v>2471</v>
      </c>
    </row>
    <row r="1497" spans="1:25">
      <c r="A1497" t="s">
        <v>2472</v>
      </c>
      <c r="B1497" s="2" t="str">
        <f>Hyperlink("https://www.diodes.com/datasheet/download/DMT4008LFDF.pdf")</f>
        <v>https://www.diodes.com/datasheet/download/DMT4008LFDF.pdf</v>
      </c>
      <c r="C1497" t="str">
        <f>Hyperlink("https://www.diodes.com/part/view/DMT4008LFDF","DMT4008LFDF")</f>
        <v>DMT4008LFDF</v>
      </c>
      <c r="D1497" t="s">
        <v>26</v>
      </c>
      <c r="E1497" t="s">
        <v>27</v>
      </c>
      <c r="F1497" t="s">
        <v>28</v>
      </c>
      <c r="G1497" t="s">
        <v>29</v>
      </c>
      <c r="H1497" t="s">
        <v>30</v>
      </c>
      <c r="I1497">
        <v>40</v>
      </c>
      <c r="J1497">
        <v>20</v>
      </c>
      <c r="K1497">
        <v>11.8</v>
      </c>
      <c r="M1497">
        <v>2</v>
      </c>
      <c r="O1497">
        <v>9.5</v>
      </c>
      <c r="P1497">
        <v>15.5</v>
      </c>
      <c r="T1497">
        <v>3</v>
      </c>
      <c r="U1497">
        <v>8.3</v>
      </c>
      <c r="V1497">
        <v>17.1</v>
      </c>
      <c r="W1497">
        <v>1179</v>
      </c>
      <c r="X1497">
        <v>20</v>
      </c>
      <c r="Y1497" t="s">
        <v>780</v>
      </c>
    </row>
    <row r="1498" spans="1:25">
      <c r="A1498" t="s">
        <v>2473</v>
      </c>
      <c r="B1498" s="2" t="str">
        <f>Hyperlink("https://www.diodes.com/datasheet/download/DMT4008LFV.pdf")</f>
        <v>https://www.diodes.com/datasheet/download/DMT4008LFV.pdf</v>
      </c>
      <c r="C1498" t="str">
        <f>Hyperlink("https://www.diodes.com/part/view/DMT4008LFV","DMT4008LFV")</f>
        <v>DMT4008LFV</v>
      </c>
      <c r="D1498" t="s">
        <v>1314</v>
      </c>
      <c r="E1498" t="s">
        <v>30</v>
      </c>
      <c r="F1498" t="s">
        <v>28</v>
      </c>
      <c r="G1498" t="s">
        <v>29</v>
      </c>
      <c r="H1498" t="s">
        <v>30</v>
      </c>
      <c r="I1498">
        <v>40</v>
      </c>
      <c r="J1498">
        <v>20</v>
      </c>
      <c r="K1498">
        <v>12.1</v>
      </c>
      <c r="L1498">
        <v>54.8</v>
      </c>
      <c r="M1498">
        <v>1.9</v>
      </c>
      <c r="N1498">
        <v>35.7</v>
      </c>
      <c r="O1498">
        <v>7.9</v>
      </c>
      <c r="P1498">
        <v>12</v>
      </c>
      <c r="T1498">
        <v>3</v>
      </c>
      <c r="U1498">
        <v>8.3</v>
      </c>
      <c r="V1498">
        <v>17.1</v>
      </c>
      <c r="W1498">
        <v>1179</v>
      </c>
      <c r="X1498">
        <v>20</v>
      </c>
      <c r="Y1498" t="s">
        <v>783</v>
      </c>
    </row>
    <row r="1499" spans="1:25">
      <c r="A1499" t="s">
        <v>2474</v>
      </c>
      <c r="B1499" s="2" t="str">
        <f>Hyperlink("https://www.diodes.com/datasheet/download/DMT4008LSS.pdf")</f>
        <v>https://www.diodes.com/datasheet/download/DMT4008LSS.pdf</v>
      </c>
      <c r="C1499" t="str">
        <f>Hyperlink("https://www.diodes.com/part/view/DMT4008LSS","DMT4008LSS")</f>
        <v>DMT4008LSS</v>
      </c>
      <c r="D1499" t="s">
        <v>1314</v>
      </c>
      <c r="E1499" t="s">
        <v>30</v>
      </c>
      <c r="F1499" t="s">
        <v>28</v>
      </c>
      <c r="G1499" t="s">
        <v>29</v>
      </c>
      <c r="H1499" t="s">
        <v>30</v>
      </c>
      <c r="I1499">
        <v>40</v>
      </c>
      <c r="J1499">
        <v>20</v>
      </c>
      <c r="K1499">
        <v>12.8</v>
      </c>
      <c r="M1499">
        <v>2.09</v>
      </c>
      <c r="O1499">
        <v>8.5</v>
      </c>
      <c r="P1499">
        <v>12.5</v>
      </c>
      <c r="T1499">
        <v>3</v>
      </c>
      <c r="U1499">
        <v>9.4</v>
      </c>
      <c r="V1499">
        <v>18.6</v>
      </c>
      <c r="W1499">
        <v>1143</v>
      </c>
      <c r="X1499">
        <v>20</v>
      </c>
      <c r="Y1499" t="s">
        <v>213</v>
      </c>
    </row>
    <row r="1500" spans="1:25">
      <c r="A1500" t="s">
        <v>2475</v>
      </c>
      <c r="B1500" s="2" t="str">
        <f>Hyperlink("https://www.diodes.com/datasheet/download/DMT4011LFG.pdf")</f>
        <v>https://www.diodes.com/datasheet/download/DMT4011LFG.pdf</v>
      </c>
      <c r="C1500" t="str">
        <f>Hyperlink("https://www.diodes.com/part/view/DMT4011LFG","DMT4011LFG")</f>
        <v>DMT4011LFG</v>
      </c>
      <c r="D1500" t="s">
        <v>1314</v>
      </c>
      <c r="E1500" t="s">
        <v>30</v>
      </c>
      <c r="F1500" t="s">
        <v>28</v>
      </c>
      <c r="G1500" t="s">
        <v>29</v>
      </c>
      <c r="H1500" t="s">
        <v>30</v>
      </c>
      <c r="I1500">
        <v>40</v>
      </c>
      <c r="J1500" t="s">
        <v>2370</v>
      </c>
      <c r="K1500">
        <v>10.8</v>
      </c>
      <c r="L1500">
        <v>30</v>
      </c>
      <c r="M1500">
        <v>2</v>
      </c>
      <c r="N1500">
        <v>15.6</v>
      </c>
      <c r="O1500">
        <v>11.5</v>
      </c>
      <c r="P1500">
        <v>17.8</v>
      </c>
      <c r="T1500">
        <v>3</v>
      </c>
      <c r="U1500">
        <v>7</v>
      </c>
      <c r="V1500">
        <v>15.1</v>
      </c>
      <c r="W1500">
        <v>767</v>
      </c>
      <c r="X1500">
        <v>20</v>
      </c>
      <c r="Y1500" t="s">
        <v>718</v>
      </c>
    </row>
    <row r="1501" spans="1:25">
      <c r="A1501" t="s">
        <v>2476</v>
      </c>
      <c r="B1501" s="2" t="str">
        <f>Hyperlink("https://www.diodes.com/datasheet/download/DMT4011LSS.pdf")</f>
        <v>https://www.diodes.com/datasheet/download/DMT4011LSS.pdf</v>
      </c>
      <c r="C1501" t="str">
        <f>Hyperlink("https://www.diodes.com/part/view/DMT4011LSS","DMT4011LSS")</f>
        <v>DMT4011LSS</v>
      </c>
      <c r="D1501" t="s">
        <v>1314</v>
      </c>
      <c r="E1501" t="s">
        <v>30</v>
      </c>
      <c r="F1501" t="s">
        <v>28</v>
      </c>
      <c r="G1501" t="s">
        <v>29</v>
      </c>
      <c r="H1501" t="s">
        <v>30</v>
      </c>
      <c r="I1501">
        <v>40</v>
      </c>
      <c r="J1501">
        <v>20</v>
      </c>
      <c r="K1501">
        <v>10.8</v>
      </c>
      <c r="M1501">
        <v>2.02</v>
      </c>
      <c r="O1501">
        <v>11.5</v>
      </c>
      <c r="P1501">
        <v>17.6</v>
      </c>
      <c r="T1501">
        <v>2.4</v>
      </c>
      <c r="U1501">
        <v>7.2</v>
      </c>
      <c r="V1501">
        <v>14.3</v>
      </c>
      <c r="W1501">
        <v>829</v>
      </c>
      <c r="X1501">
        <v>20</v>
      </c>
      <c r="Y1501" t="s">
        <v>213</v>
      </c>
    </row>
    <row r="1502" spans="1:25">
      <c r="A1502" t="s">
        <v>2477</v>
      </c>
      <c r="B1502" s="2" t="str">
        <f>Hyperlink("https://www.diodes.com/datasheet/download/DMT4014LDV.pdf")</f>
        <v>https://www.diodes.com/datasheet/download/DMT4014LDV.pdf</v>
      </c>
      <c r="C1502" t="str">
        <f>Hyperlink("https://www.diodes.com/part/view/DMT4014LDV","DMT4014LDV")</f>
        <v>DMT4014LDV</v>
      </c>
      <c r="D1502" t="s">
        <v>1314</v>
      </c>
      <c r="E1502" t="s">
        <v>30</v>
      </c>
      <c r="F1502" t="s">
        <v>28</v>
      </c>
      <c r="G1502" t="s">
        <v>40</v>
      </c>
      <c r="H1502" t="s">
        <v>30</v>
      </c>
      <c r="I1502">
        <v>40</v>
      </c>
      <c r="J1502">
        <v>20</v>
      </c>
      <c r="K1502">
        <v>8.5</v>
      </c>
      <c r="L1502">
        <v>26.5</v>
      </c>
      <c r="M1502">
        <v>2.1</v>
      </c>
      <c r="N1502">
        <v>26.5</v>
      </c>
      <c r="O1502">
        <v>19</v>
      </c>
      <c r="P1502">
        <v>29</v>
      </c>
      <c r="T1502">
        <v>3</v>
      </c>
      <c r="U1502">
        <v>5.7</v>
      </c>
      <c r="V1502">
        <v>11.2</v>
      </c>
      <c r="W1502">
        <v>750</v>
      </c>
      <c r="X1502">
        <v>20</v>
      </c>
      <c r="Y1502" t="s">
        <v>718</v>
      </c>
    </row>
    <row r="1503" spans="1:25">
      <c r="A1503" t="s">
        <v>2478</v>
      </c>
      <c r="B1503" s="2" t="str">
        <f>Hyperlink("https://www.diodes.com/datasheet/download/DMT4015LDV.pdf")</f>
        <v>https://www.diodes.com/datasheet/download/DMT4015LDV.pdf</v>
      </c>
      <c r="C1503" t="str">
        <f>Hyperlink("https://www.diodes.com/part/view/DMT4015LDV","DMT4015LDV")</f>
        <v>DMT4015LDV</v>
      </c>
      <c r="D1503" t="s">
        <v>1314</v>
      </c>
      <c r="E1503" t="s">
        <v>30</v>
      </c>
      <c r="F1503" t="s">
        <v>28</v>
      </c>
      <c r="G1503" t="s">
        <v>40</v>
      </c>
      <c r="H1503" t="s">
        <v>27</v>
      </c>
      <c r="I1503">
        <v>40</v>
      </c>
      <c r="J1503">
        <v>16</v>
      </c>
      <c r="K1503">
        <v>7.8</v>
      </c>
      <c r="L1503">
        <v>21.2</v>
      </c>
      <c r="M1503">
        <v>2</v>
      </c>
      <c r="O1503">
        <v>20</v>
      </c>
      <c r="P1503">
        <v>25</v>
      </c>
      <c r="T1503">
        <v>2.5</v>
      </c>
      <c r="U1503">
        <v>8.6</v>
      </c>
      <c r="V1503">
        <v>15.7</v>
      </c>
      <c r="W1503">
        <v>808</v>
      </c>
      <c r="X1503">
        <v>30</v>
      </c>
      <c r="Y1503" t="s">
        <v>718</v>
      </c>
    </row>
    <row r="1504" spans="1:25">
      <c r="A1504" t="s">
        <v>2479</v>
      </c>
      <c r="B1504" s="2" t="str">
        <f>Hyperlink("https://www.diodes.com/datasheet/download/DMT4031LFDF.pdf")</f>
        <v>https://www.diodes.com/datasheet/download/DMT4031LFDF.pdf</v>
      </c>
      <c r="C1504" t="str">
        <f>Hyperlink("https://www.diodes.com/part/view/DMT4031LFDF","DMT4031LFDF")</f>
        <v>DMT4031LFDF</v>
      </c>
      <c r="D1504" t="s">
        <v>1314</v>
      </c>
      <c r="E1504" t="s">
        <v>30</v>
      </c>
      <c r="F1504" t="s">
        <v>28</v>
      </c>
      <c r="G1504" t="s">
        <v>29</v>
      </c>
      <c r="H1504" t="s">
        <v>27</v>
      </c>
      <c r="I1504">
        <v>40</v>
      </c>
      <c r="J1504">
        <v>16</v>
      </c>
      <c r="K1504">
        <v>6.8</v>
      </c>
      <c r="M1504">
        <v>2</v>
      </c>
      <c r="O1504">
        <v>26</v>
      </c>
      <c r="P1504">
        <v>47</v>
      </c>
      <c r="T1504">
        <v>2.5</v>
      </c>
      <c r="U1504">
        <v>3.9</v>
      </c>
      <c r="V1504">
        <v>7</v>
      </c>
      <c r="W1504">
        <v>362</v>
      </c>
      <c r="X1504">
        <v>20</v>
      </c>
      <c r="Y1504" t="s">
        <v>780</v>
      </c>
    </row>
    <row r="1505" spans="1:25">
      <c r="A1505" t="s">
        <v>2480</v>
      </c>
      <c r="B1505" s="2" t="str">
        <f>Hyperlink("https://www.diodes.com/datasheet/download/DMT4031LSD.pdf")</f>
        <v>https://www.diodes.com/datasheet/download/DMT4031LSD.pdf</v>
      </c>
      <c r="C1505" t="str">
        <f>Hyperlink("https://www.diodes.com/part/view/DMT4031LSD","DMT4031LSD")</f>
        <v>DMT4031LSD</v>
      </c>
      <c r="D1505" t="s">
        <v>1314</v>
      </c>
      <c r="E1505" t="s">
        <v>30</v>
      </c>
      <c r="F1505" t="s">
        <v>28</v>
      </c>
      <c r="G1505" t="s">
        <v>29</v>
      </c>
      <c r="H1505" t="s">
        <v>27</v>
      </c>
      <c r="I1505">
        <v>40</v>
      </c>
      <c r="J1505">
        <v>12</v>
      </c>
      <c r="K1505">
        <v>6.3</v>
      </c>
      <c r="M1505">
        <v>1.5</v>
      </c>
      <c r="O1505">
        <v>23</v>
      </c>
      <c r="P1505">
        <v>41</v>
      </c>
      <c r="T1505">
        <v>2.5</v>
      </c>
      <c r="U1505">
        <v>3.9</v>
      </c>
      <c r="V1505">
        <v>7</v>
      </c>
      <c r="W1505">
        <v>362</v>
      </c>
      <c r="X1505">
        <v>20</v>
      </c>
      <c r="Y1505" t="s">
        <v>213</v>
      </c>
    </row>
    <row r="1506" spans="1:25">
      <c r="A1506" t="s">
        <v>2481</v>
      </c>
      <c r="B1506" s="2" t="str">
        <f>Hyperlink("https://www.diodes.com/datasheet/download/DMT43M8LFV.pdf")</f>
        <v>https://www.diodes.com/datasheet/download/DMT43M8LFV.pdf</v>
      </c>
      <c r="C1506" t="str">
        <f>Hyperlink("https://www.diodes.com/part/view/DMT43M8LFV","DMT43M8LFV")</f>
        <v>DMT43M8LFV</v>
      </c>
      <c r="D1506" t="s">
        <v>26</v>
      </c>
      <c r="E1506" t="s">
        <v>27</v>
      </c>
      <c r="F1506" t="s">
        <v>28</v>
      </c>
      <c r="G1506" t="s">
        <v>29</v>
      </c>
      <c r="H1506" t="s">
        <v>30</v>
      </c>
      <c r="I1506">
        <v>40</v>
      </c>
      <c r="J1506">
        <v>20</v>
      </c>
      <c r="L1506">
        <v>87</v>
      </c>
      <c r="M1506">
        <v>2.25</v>
      </c>
      <c r="N1506">
        <v>45.4</v>
      </c>
      <c r="O1506">
        <v>4</v>
      </c>
      <c r="P1506">
        <v>5.5</v>
      </c>
      <c r="T1506">
        <v>2.5</v>
      </c>
      <c r="U1506">
        <v>21.1</v>
      </c>
      <c r="V1506">
        <v>44.4</v>
      </c>
      <c r="W1506">
        <v>3213</v>
      </c>
      <c r="X1506">
        <v>20</v>
      </c>
      <c r="Y1506" t="s">
        <v>783</v>
      </c>
    </row>
    <row r="1507" spans="1:25">
      <c r="A1507" t="s">
        <v>2482</v>
      </c>
      <c r="B1507" s="2" t="str">
        <f>Hyperlink("https://www.diodes.com/datasheet/download/DMT47M2LDV.pdf")</f>
        <v>https://www.diodes.com/datasheet/download/DMT47M2LDV.pdf</v>
      </c>
      <c r="C1507" t="str">
        <f>Hyperlink("https://www.diodes.com/part/view/DMT47M2LDV","DMT47M2LDV")</f>
        <v>DMT47M2LDV</v>
      </c>
      <c r="D1507" t="s">
        <v>2483</v>
      </c>
      <c r="E1507" t="s">
        <v>27</v>
      </c>
      <c r="F1507" t="s">
        <v>28</v>
      </c>
      <c r="G1507" t="s">
        <v>40</v>
      </c>
      <c r="H1507" t="s">
        <v>30</v>
      </c>
      <c r="I1507">
        <v>40</v>
      </c>
      <c r="J1507">
        <v>20</v>
      </c>
      <c r="K1507">
        <v>11.9</v>
      </c>
      <c r="L1507">
        <v>30.2</v>
      </c>
      <c r="M1507">
        <v>2.34</v>
      </c>
      <c r="N1507">
        <v>14.8</v>
      </c>
      <c r="O1507">
        <v>10.8</v>
      </c>
      <c r="P1507">
        <v>15</v>
      </c>
      <c r="T1507">
        <v>2.3</v>
      </c>
      <c r="U1507">
        <v>6.72</v>
      </c>
      <c r="V1507">
        <v>14</v>
      </c>
      <c r="W1507">
        <v>891</v>
      </c>
      <c r="X1507">
        <v>20</v>
      </c>
      <c r="Y1507" t="s">
        <v>718</v>
      </c>
    </row>
    <row r="1508" spans="1:25">
      <c r="A1508" t="s">
        <v>2484</v>
      </c>
      <c r="B1508" s="2" t="str">
        <f>Hyperlink("https://www.diodes.com/datasheet/download/DMT47M2LDVQ.pdf")</f>
        <v>https://www.diodes.com/datasheet/download/DMT47M2LDVQ.pdf</v>
      </c>
      <c r="C1508" t="str">
        <f>Hyperlink("https://www.diodes.com/part/view/DMT47M2LDVQ","DMT47M2LDVQ")</f>
        <v>DMT47M2LDVQ</v>
      </c>
      <c r="D1508" t="s">
        <v>2483</v>
      </c>
      <c r="E1508" t="s">
        <v>27</v>
      </c>
      <c r="F1508" t="s">
        <v>37</v>
      </c>
      <c r="G1508" t="s">
        <v>40</v>
      </c>
      <c r="H1508" t="s">
        <v>30</v>
      </c>
      <c r="I1508">
        <v>40</v>
      </c>
      <c r="J1508">
        <v>20</v>
      </c>
      <c r="K1508">
        <v>11.9</v>
      </c>
      <c r="L1508">
        <v>30.2</v>
      </c>
      <c r="M1508">
        <v>2.34</v>
      </c>
      <c r="N1508">
        <v>14.8</v>
      </c>
      <c r="O1508">
        <v>10.8</v>
      </c>
      <c r="P1508">
        <v>15</v>
      </c>
      <c r="T1508">
        <v>2.3</v>
      </c>
      <c r="U1508">
        <v>6.72</v>
      </c>
      <c r="V1508">
        <v>14</v>
      </c>
      <c r="W1508">
        <v>891</v>
      </c>
      <c r="X1508">
        <v>20</v>
      </c>
      <c r="Y1508" t="s">
        <v>381</v>
      </c>
    </row>
    <row r="1509" spans="1:25">
      <c r="A1509" t="s">
        <v>2485</v>
      </c>
      <c r="B1509" s="2" t="str">
        <f>Hyperlink("https://www.diodes.com/datasheet/download/DMT47M2SFVW.pdf")</f>
        <v>https://www.diodes.com/datasheet/download/DMT47M2SFVW.pdf</v>
      </c>
      <c r="C1509" t="str">
        <f>Hyperlink("https://www.diodes.com/part/view/DMT47M2SFVW","DMT47M2SFVW")</f>
        <v>DMT47M2SFVW</v>
      </c>
      <c r="D1509" t="s">
        <v>2486</v>
      </c>
      <c r="E1509" t="s">
        <v>27</v>
      </c>
      <c r="F1509" t="s">
        <v>28</v>
      </c>
      <c r="G1509" t="s">
        <v>29</v>
      </c>
      <c r="H1509" t="s">
        <v>30</v>
      </c>
      <c r="I1509">
        <v>40</v>
      </c>
      <c r="J1509">
        <v>20</v>
      </c>
      <c r="K1509">
        <v>15.4</v>
      </c>
      <c r="L1509">
        <v>49.1</v>
      </c>
      <c r="M1509">
        <v>2.67</v>
      </c>
      <c r="N1509">
        <v>27.1</v>
      </c>
      <c r="O1509">
        <v>7.5</v>
      </c>
      <c r="T1509">
        <v>4</v>
      </c>
      <c r="V1509">
        <v>12.1</v>
      </c>
      <c r="W1509">
        <v>897</v>
      </c>
      <c r="X1509">
        <v>20</v>
      </c>
      <c r="Y1509" t="s">
        <v>718</v>
      </c>
    </row>
    <row r="1510" spans="1:25">
      <c r="A1510" t="s">
        <v>2487</v>
      </c>
      <c r="B1510" s="2" t="str">
        <f>Hyperlink("https://www.diodes.com/datasheet/download/DMT47M2SFVWQ.pdf")</f>
        <v>https://www.diodes.com/datasheet/download/DMT47M2SFVWQ.pdf</v>
      </c>
      <c r="C1510" t="str">
        <f>Hyperlink("https://www.diodes.com/part/view/DMT47M2SFVWQ","DMT47M2SFVWQ")</f>
        <v>DMT47M2SFVWQ</v>
      </c>
      <c r="D1510" t="s">
        <v>2486</v>
      </c>
      <c r="E1510" t="s">
        <v>27</v>
      </c>
      <c r="F1510" t="s">
        <v>37</v>
      </c>
      <c r="G1510" t="s">
        <v>29</v>
      </c>
      <c r="H1510" t="s">
        <v>30</v>
      </c>
      <c r="I1510">
        <v>40</v>
      </c>
      <c r="J1510">
        <v>20</v>
      </c>
      <c r="K1510">
        <v>15.4</v>
      </c>
      <c r="L1510">
        <v>49.1</v>
      </c>
      <c r="M1510">
        <v>2.67</v>
      </c>
      <c r="N1510">
        <v>27.1</v>
      </c>
      <c r="O1510">
        <v>7.5</v>
      </c>
      <c r="T1510">
        <v>4</v>
      </c>
      <c r="V1510">
        <v>12.1</v>
      </c>
      <c r="W1510">
        <v>897</v>
      </c>
      <c r="X1510">
        <v>20</v>
      </c>
      <c r="Y1510" t="s">
        <v>1109</v>
      </c>
    </row>
    <row r="1511" spans="1:25">
      <c r="A1511" t="s">
        <v>2488</v>
      </c>
      <c r="B1511" s="2" t="str">
        <f>Hyperlink("https://www.diodes.com/datasheet/download/DMT5012LFVW.pdf")</f>
        <v>https://www.diodes.com/datasheet/download/DMT5012LFVW.pdf</v>
      </c>
      <c r="C1511" t="str">
        <f>Hyperlink("https://www.diodes.com/part/view/DMT5012LFVW","DMT5012LFVW")</f>
        <v>DMT5012LFVW</v>
      </c>
      <c r="D1511" t="s">
        <v>105</v>
      </c>
      <c r="E1511" t="s">
        <v>30</v>
      </c>
      <c r="F1511" t="s">
        <v>28</v>
      </c>
      <c r="G1511" t="s">
        <v>29</v>
      </c>
      <c r="H1511" t="s">
        <v>30</v>
      </c>
      <c r="I1511">
        <v>50</v>
      </c>
      <c r="J1511">
        <v>20</v>
      </c>
      <c r="K1511">
        <v>11.7</v>
      </c>
      <c r="L1511">
        <v>51.4</v>
      </c>
      <c r="M1511">
        <v>2.7</v>
      </c>
      <c r="N1511">
        <v>51.4</v>
      </c>
      <c r="O1511">
        <v>13</v>
      </c>
      <c r="P1511">
        <v>20</v>
      </c>
      <c r="T1511">
        <v>2.3</v>
      </c>
      <c r="U1511">
        <v>10.5</v>
      </c>
      <c r="V1511">
        <v>17.6</v>
      </c>
      <c r="W1511">
        <v>738</v>
      </c>
      <c r="X1511">
        <v>30</v>
      </c>
      <c r="Y1511" t="s">
        <v>718</v>
      </c>
    </row>
    <row r="1512" spans="1:25">
      <c r="A1512" t="s">
        <v>2489</v>
      </c>
      <c r="B1512" s="2" t="str">
        <f>Hyperlink("https://www.diodes.com/datasheet/download/DMT6002LPS.pdf")</f>
        <v>https://www.diodes.com/datasheet/download/DMT6002LPS.pdf</v>
      </c>
      <c r="C1512" t="str">
        <f>Hyperlink("https://www.diodes.com/part/view/DMT6002LPS","DMT6002LPS")</f>
        <v>DMT6002LPS</v>
      </c>
      <c r="D1512" t="s">
        <v>1384</v>
      </c>
      <c r="E1512" t="s">
        <v>30</v>
      </c>
      <c r="F1512" t="s">
        <v>28</v>
      </c>
      <c r="G1512" t="s">
        <v>29</v>
      </c>
      <c r="H1512" t="s">
        <v>30</v>
      </c>
      <c r="I1512">
        <v>60</v>
      </c>
      <c r="J1512">
        <v>20</v>
      </c>
      <c r="L1512">
        <v>100</v>
      </c>
      <c r="M1512">
        <v>2.3</v>
      </c>
      <c r="N1512">
        <v>167</v>
      </c>
      <c r="O1512">
        <v>2</v>
      </c>
      <c r="P1512" t="s">
        <v>2490</v>
      </c>
      <c r="T1512">
        <v>3</v>
      </c>
      <c r="U1512">
        <v>63.6</v>
      </c>
      <c r="V1512">
        <v>130.8</v>
      </c>
      <c r="W1512">
        <v>6555</v>
      </c>
      <c r="X1512">
        <v>30</v>
      </c>
      <c r="Y1512" t="s">
        <v>1691</v>
      </c>
    </row>
    <row r="1513" spans="1:25">
      <c r="A1513" t="s">
        <v>2491</v>
      </c>
      <c r="B1513" s="2" t="str">
        <f>Hyperlink("https://www.diodes.com/datasheet/download/DMT6004LPS.pdf")</f>
        <v>https://www.diodes.com/datasheet/download/DMT6004LPS.pdf</v>
      </c>
      <c r="C1513" t="str">
        <f>Hyperlink("https://www.diodes.com/part/view/DMT6004LPS","DMT6004LPS")</f>
        <v>DMT6004LPS</v>
      </c>
      <c r="D1513" t="s">
        <v>1384</v>
      </c>
      <c r="E1513" t="s">
        <v>27</v>
      </c>
      <c r="F1513" t="s">
        <v>28</v>
      </c>
      <c r="G1513" t="s">
        <v>29</v>
      </c>
      <c r="H1513" t="s">
        <v>30</v>
      </c>
      <c r="I1513">
        <v>60</v>
      </c>
      <c r="J1513">
        <v>20</v>
      </c>
      <c r="K1513">
        <v>22</v>
      </c>
      <c r="L1513">
        <v>100</v>
      </c>
      <c r="M1513">
        <v>2.5</v>
      </c>
      <c r="N1513">
        <v>139</v>
      </c>
      <c r="O1513">
        <v>3.1</v>
      </c>
      <c r="P1513">
        <v>4.5</v>
      </c>
      <c r="T1513">
        <v>3</v>
      </c>
      <c r="U1513">
        <v>38.5</v>
      </c>
      <c r="V1513">
        <v>78.3</v>
      </c>
      <c r="W1513">
        <v>5399</v>
      </c>
      <c r="X1513">
        <v>30</v>
      </c>
      <c r="Y1513" t="s">
        <v>907</v>
      </c>
    </row>
    <row r="1514" spans="1:25">
      <c r="A1514" t="s">
        <v>2492</v>
      </c>
      <c r="B1514" s="2" t="str">
        <f>Hyperlink("https://www.diodes.com/datasheet/download/DMT6004SCT.pdf")</f>
        <v>https://www.diodes.com/datasheet/download/DMT6004SCT.pdf</v>
      </c>
      <c r="C1514" t="str">
        <f>Hyperlink("https://www.diodes.com/part/view/DMT6004SCT","DMT6004SCT")</f>
        <v>DMT6004SCT</v>
      </c>
      <c r="D1514" t="s">
        <v>26</v>
      </c>
      <c r="E1514" t="s">
        <v>27</v>
      </c>
      <c r="F1514" t="s">
        <v>28</v>
      </c>
      <c r="G1514" t="s">
        <v>29</v>
      </c>
      <c r="H1514" t="s">
        <v>30</v>
      </c>
      <c r="I1514">
        <v>60</v>
      </c>
      <c r="J1514">
        <v>20</v>
      </c>
      <c r="L1514">
        <v>100</v>
      </c>
      <c r="M1514">
        <v>2.3</v>
      </c>
      <c r="N1514">
        <v>113</v>
      </c>
      <c r="O1514">
        <v>3.65</v>
      </c>
      <c r="T1514">
        <v>4</v>
      </c>
      <c r="V1514">
        <v>95.4</v>
      </c>
      <c r="W1514">
        <v>4556</v>
      </c>
      <c r="X1514">
        <v>30</v>
      </c>
      <c r="Y1514" t="s">
        <v>1535</v>
      </c>
    </row>
    <row r="1515" spans="1:25">
      <c r="A1515" t="s">
        <v>2493</v>
      </c>
      <c r="B1515" s="2" t="str">
        <f>Hyperlink("https://www.diodes.com/datasheet/download/DMT6004SPS.pdf")</f>
        <v>https://www.diodes.com/datasheet/download/DMT6004SPS.pdf</v>
      </c>
      <c r="C1515" t="str">
        <f>Hyperlink("https://www.diodes.com/part/view/DMT6004SPS","DMT6004SPS")</f>
        <v>DMT6004SPS</v>
      </c>
      <c r="D1515" t="s">
        <v>26</v>
      </c>
      <c r="E1515" t="s">
        <v>27</v>
      </c>
      <c r="F1515" t="s">
        <v>28</v>
      </c>
      <c r="G1515" t="s">
        <v>29</v>
      </c>
      <c r="H1515" t="s">
        <v>30</v>
      </c>
      <c r="I1515">
        <v>60</v>
      </c>
      <c r="J1515">
        <v>20</v>
      </c>
      <c r="K1515">
        <v>23</v>
      </c>
      <c r="L1515">
        <v>100</v>
      </c>
      <c r="M1515">
        <v>2.5</v>
      </c>
      <c r="N1515">
        <v>139</v>
      </c>
      <c r="O1515">
        <v>3.1</v>
      </c>
      <c r="T1515">
        <v>4</v>
      </c>
      <c r="V1515">
        <v>95.4</v>
      </c>
      <c r="W1515">
        <v>5011</v>
      </c>
      <c r="X1515">
        <v>30</v>
      </c>
      <c r="Y1515" t="s">
        <v>907</v>
      </c>
    </row>
    <row r="1516" spans="1:25">
      <c r="A1516" t="s">
        <v>2494</v>
      </c>
      <c r="B1516" s="2" t="str">
        <f>Hyperlink("https://www.diodes.com/datasheet/download/DMT6005LCT.pdf")</f>
        <v>https://www.diodes.com/datasheet/download/DMT6005LCT.pdf</v>
      </c>
      <c r="C1516" t="str">
        <f>Hyperlink("https://www.diodes.com/part/view/DMT6005LCT","DMT6005LCT")</f>
        <v>DMT6005LCT</v>
      </c>
      <c r="D1516" t="s">
        <v>1384</v>
      </c>
      <c r="E1516" t="s">
        <v>27</v>
      </c>
      <c r="F1516" t="s">
        <v>28</v>
      </c>
      <c r="G1516" t="s">
        <v>29</v>
      </c>
      <c r="H1516" t="s">
        <v>30</v>
      </c>
      <c r="I1516">
        <v>60</v>
      </c>
      <c r="J1516">
        <v>20</v>
      </c>
      <c r="L1516">
        <v>100</v>
      </c>
      <c r="M1516">
        <v>2.3</v>
      </c>
      <c r="N1516">
        <v>104</v>
      </c>
      <c r="O1516">
        <v>6</v>
      </c>
      <c r="P1516">
        <v>10</v>
      </c>
      <c r="T1516">
        <v>3</v>
      </c>
      <c r="U1516">
        <v>23.1</v>
      </c>
      <c r="V1516">
        <v>47.1</v>
      </c>
      <c r="W1516">
        <v>2962</v>
      </c>
      <c r="X1516">
        <v>30</v>
      </c>
      <c r="Y1516" t="s">
        <v>2471</v>
      </c>
    </row>
    <row r="1517" spans="1:25">
      <c r="A1517" t="s">
        <v>2495</v>
      </c>
      <c r="B1517" s="2" t="str">
        <f>Hyperlink("https://www.diodes.com/datasheet/download/DMT6005LFG.pdf")</f>
        <v>https://www.diodes.com/datasheet/download/DMT6005LFG.pdf</v>
      </c>
      <c r="C1517" t="str">
        <f>Hyperlink("https://www.diodes.com/part/view/DMT6005LFG","DMT6005LFG")</f>
        <v>DMT6005LFG</v>
      </c>
      <c r="D1517" t="s">
        <v>1384</v>
      </c>
      <c r="E1517" t="s">
        <v>27</v>
      </c>
      <c r="F1517" t="s">
        <v>28</v>
      </c>
      <c r="G1517" t="s">
        <v>29</v>
      </c>
      <c r="H1517" t="s">
        <v>30</v>
      </c>
      <c r="I1517">
        <v>60</v>
      </c>
      <c r="J1517">
        <v>20</v>
      </c>
      <c r="K1517">
        <v>18</v>
      </c>
      <c r="L1517">
        <v>100</v>
      </c>
      <c r="M1517">
        <v>1.98</v>
      </c>
      <c r="N1517">
        <v>62.5</v>
      </c>
      <c r="O1517">
        <v>4.1</v>
      </c>
      <c r="P1517">
        <v>7</v>
      </c>
      <c r="T1517">
        <v>2.5</v>
      </c>
      <c r="U1517">
        <v>23.6</v>
      </c>
      <c r="V1517">
        <v>48.7</v>
      </c>
      <c r="W1517">
        <v>3150</v>
      </c>
      <c r="X1517">
        <v>30</v>
      </c>
      <c r="Y1517" t="s">
        <v>718</v>
      </c>
    </row>
    <row r="1518" spans="1:25">
      <c r="A1518" t="s">
        <v>2496</v>
      </c>
      <c r="B1518" s="2" t="str">
        <f>Hyperlink("https://www.diodes.com/datasheet/download/DMT6005LPS.pdf")</f>
        <v>https://www.diodes.com/datasheet/download/DMT6005LPS.pdf</v>
      </c>
      <c r="C1518" t="str">
        <f>Hyperlink("https://www.diodes.com/part/view/DMT6005LPS","DMT6005LPS")</f>
        <v>DMT6005LPS</v>
      </c>
      <c r="D1518" t="s">
        <v>1384</v>
      </c>
      <c r="E1518" t="s">
        <v>27</v>
      </c>
      <c r="F1518" t="s">
        <v>28</v>
      </c>
      <c r="G1518" t="s">
        <v>29</v>
      </c>
      <c r="H1518" t="s">
        <v>30</v>
      </c>
      <c r="I1518">
        <v>60</v>
      </c>
      <c r="J1518">
        <v>20</v>
      </c>
      <c r="K1518">
        <v>17.9</v>
      </c>
      <c r="L1518">
        <v>100</v>
      </c>
      <c r="M1518">
        <v>2.6</v>
      </c>
      <c r="N1518">
        <v>125</v>
      </c>
      <c r="O1518">
        <v>4.5</v>
      </c>
      <c r="P1518">
        <v>6.5</v>
      </c>
      <c r="T1518">
        <v>3</v>
      </c>
      <c r="U1518">
        <v>23.1</v>
      </c>
      <c r="V1518">
        <v>47.1</v>
      </c>
      <c r="W1518">
        <v>2962</v>
      </c>
      <c r="X1518">
        <v>30</v>
      </c>
      <c r="Y1518" t="s">
        <v>907</v>
      </c>
    </row>
    <row r="1519" spans="1:25">
      <c r="A1519" t="s">
        <v>2497</v>
      </c>
      <c r="B1519" s="2" t="str">
        <f>Hyperlink("https://www.diodes.com/datasheet/download/DMT6005LSS.pdf")</f>
        <v>https://www.diodes.com/datasheet/download/DMT6005LSS.pdf</v>
      </c>
      <c r="C1519" t="str">
        <f>Hyperlink("https://www.diodes.com/part/view/DMT6005LSS","DMT6005LSS")</f>
        <v>DMT6005LSS</v>
      </c>
      <c r="D1519" t="s">
        <v>1384</v>
      </c>
      <c r="E1519" t="s">
        <v>27</v>
      </c>
      <c r="F1519" t="s">
        <v>28</v>
      </c>
      <c r="G1519" t="s">
        <v>29</v>
      </c>
      <c r="H1519" t="s">
        <v>30</v>
      </c>
      <c r="I1519">
        <v>60</v>
      </c>
      <c r="J1519">
        <v>20</v>
      </c>
      <c r="K1519">
        <v>13.5</v>
      </c>
      <c r="M1519">
        <v>1.7</v>
      </c>
      <c r="O1519">
        <v>6</v>
      </c>
      <c r="P1519">
        <v>8.9</v>
      </c>
      <c r="T1519">
        <v>3</v>
      </c>
      <c r="U1519">
        <v>23.1</v>
      </c>
      <c r="V1519">
        <v>47.1</v>
      </c>
      <c r="W1519">
        <v>2962</v>
      </c>
      <c r="X1519">
        <v>30</v>
      </c>
      <c r="Y1519" t="s">
        <v>213</v>
      </c>
    </row>
    <row r="1520" spans="1:25">
      <c r="A1520" t="s">
        <v>2498</v>
      </c>
      <c r="B1520" s="2" t="str">
        <f>Hyperlink("https://www.diodes.com/datasheet/download/DMT6006LK3.pdf")</f>
        <v>https://www.diodes.com/datasheet/download/DMT6006LK3.pdf</v>
      </c>
      <c r="C1520" t="str">
        <f>Hyperlink("https://www.diodes.com/part/view/DMT6006LK3","DMT6006LK3")</f>
        <v>DMT6006LK3</v>
      </c>
      <c r="D1520" t="s">
        <v>1384</v>
      </c>
      <c r="E1520" t="s">
        <v>30</v>
      </c>
      <c r="F1520" t="s">
        <v>28</v>
      </c>
      <c r="G1520" t="s">
        <v>29</v>
      </c>
      <c r="H1520" t="s">
        <v>30</v>
      </c>
      <c r="I1520">
        <v>60</v>
      </c>
      <c r="J1520">
        <v>20</v>
      </c>
      <c r="L1520">
        <v>88</v>
      </c>
      <c r="M1520">
        <v>3.1</v>
      </c>
      <c r="N1520">
        <v>88</v>
      </c>
      <c r="O1520">
        <v>6.5</v>
      </c>
      <c r="P1520">
        <v>10</v>
      </c>
      <c r="T1520">
        <v>2.5</v>
      </c>
      <c r="U1520">
        <v>18.1</v>
      </c>
      <c r="V1520">
        <v>34.9</v>
      </c>
      <c r="W1520">
        <v>2162</v>
      </c>
      <c r="X1520">
        <v>30</v>
      </c>
      <c r="Y1520" t="s">
        <v>681</v>
      </c>
    </row>
    <row r="1521" spans="1:25">
      <c r="A1521" t="s">
        <v>2499</v>
      </c>
      <c r="B1521" s="2" t="str">
        <f>Hyperlink("https://www.diodes.com/datasheet/download/DMT6006LSS.pdf")</f>
        <v>https://www.diodes.com/datasheet/download/DMT6006LSS.pdf</v>
      </c>
      <c r="C1521" t="str">
        <f>Hyperlink("https://www.diodes.com/part/view/DMT6006LSS","DMT6006LSS")</f>
        <v>DMT6006LSS</v>
      </c>
      <c r="D1521" t="s">
        <v>1384</v>
      </c>
      <c r="E1521" t="s">
        <v>30</v>
      </c>
      <c r="F1521" t="s">
        <v>28</v>
      </c>
      <c r="G1521" t="s">
        <v>29</v>
      </c>
      <c r="H1521" t="s">
        <v>30</v>
      </c>
      <c r="I1521">
        <v>60</v>
      </c>
      <c r="J1521">
        <v>20</v>
      </c>
      <c r="K1521">
        <v>14.6</v>
      </c>
      <c r="M1521">
        <v>2.08</v>
      </c>
      <c r="O1521">
        <v>6.5</v>
      </c>
      <c r="P1521">
        <v>10</v>
      </c>
      <c r="T1521">
        <v>2.5</v>
      </c>
      <c r="U1521">
        <v>18.1</v>
      </c>
      <c r="V1521">
        <v>34.9</v>
      </c>
      <c r="W1521">
        <v>2162</v>
      </c>
      <c r="X1521">
        <v>30</v>
      </c>
      <c r="Y1521" t="s">
        <v>213</v>
      </c>
    </row>
    <row r="1522" spans="1:25">
      <c r="A1522" t="s">
        <v>2500</v>
      </c>
      <c r="B1522" s="2" t="str">
        <f>Hyperlink("https://www.diodes.com/datasheet/download/DMT6006SPS.pdf")</f>
        <v>https://www.diodes.com/datasheet/download/DMT6006SPS.pdf</v>
      </c>
      <c r="C1522" t="str">
        <f>Hyperlink("https://www.diodes.com/part/view/DMT6006SPS","DMT6006SPS")</f>
        <v>DMT6006SPS</v>
      </c>
      <c r="D1522" t="s">
        <v>1384</v>
      </c>
      <c r="E1522" t="s">
        <v>30</v>
      </c>
      <c r="F1522" t="s">
        <v>28</v>
      </c>
      <c r="G1522" t="s">
        <v>29</v>
      </c>
      <c r="H1522" t="s">
        <v>30</v>
      </c>
      <c r="I1522">
        <v>60</v>
      </c>
      <c r="J1522">
        <v>20</v>
      </c>
      <c r="K1522">
        <v>16.2</v>
      </c>
      <c r="L1522">
        <v>98</v>
      </c>
      <c r="M1522">
        <v>2.45</v>
      </c>
      <c r="N1522">
        <v>89.3</v>
      </c>
      <c r="O1522">
        <v>6.2</v>
      </c>
      <c r="T1522">
        <v>4</v>
      </c>
      <c r="V1522">
        <v>27.9</v>
      </c>
      <c r="W1522">
        <v>1721</v>
      </c>
      <c r="X1522">
        <v>30</v>
      </c>
      <c r="Y1522" t="s">
        <v>907</v>
      </c>
    </row>
    <row r="1523" spans="1:25">
      <c r="A1523" t="s">
        <v>2501</v>
      </c>
      <c r="B1523" s="2" t="str">
        <f>Hyperlink("https://www.diodes.com/datasheet/download/DMT6007LFG.pdf")</f>
        <v>https://www.diodes.com/datasheet/download/DMT6007LFG.pdf</v>
      </c>
      <c r="C1523" t="str">
        <f>Hyperlink("https://www.diodes.com/part/view/DMT6007LFG","DMT6007LFG")</f>
        <v>DMT6007LFG</v>
      </c>
      <c r="D1523" t="s">
        <v>1384</v>
      </c>
      <c r="E1523" t="s">
        <v>27</v>
      </c>
      <c r="F1523" t="s">
        <v>28</v>
      </c>
      <c r="G1523" t="s">
        <v>29</v>
      </c>
      <c r="H1523" t="s">
        <v>30</v>
      </c>
      <c r="I1523">
        <v>60</v>
      </c>
      <c r="J1523">
        <v>20</v>
      </c>
      <c r="K1523">
        <v>15</v>
      </c>
      <c r="L1523">
        <v>80</v>
      </c>
      <c r="M1523">
        <v>2.2</v>
      </c>
      <c r="N1523">
        <v>2</v>
      </c>
      <c r="O1523">
        <v>6</v>
      </c>
      <c r="P1523">
        <v>8.5</v>
      </c>
      <c r="T1523">
        <v>2</v>
      </c>
      <c r="U1523">
        <v>19.3</v>
      </c>
      <c r="V1523">
        <v>41.3</v>
      </c>
      <c r="W1523">
        <v>2090</v>
      </c>
      <c r="X1523">
        <v>30</v>
      </c>
      <c r="Y1523" t="s">
        <v>718</v>
      </c>
    </row>
    <row r="1524" spans="1:25">
      <c r="A1524" t="s">
        <v>2502</v>
      </c>
      <c r="B1524" s="2" t="str">
        <f>Hyperlink("https://www.diodes.com/datasheet/download/DMT6007LFGQ.pdf")</f>
        <v>https://www.diodes.com/datasheet/download/DMT6007LFGQ.pdf</v>
      </c>
      <c r="C1524" t="str">
        <f>Hyperlink("https://www.diodes.com/part/view/DMT6007LFGQ","DMT6007LFGQ")</f>
        <v>DMT6007LFGQ</v>
      </c>
      <c r="D1524" t="s">
        <v>26</v>
      </c>
      <c r="E1524" t="s">
        <v>27</v>
      </c>
      <c r="F1524" t="s">
        <v>37</v>
      </c>
      <c r="G1524" t="s">
        <v>29</v>
      </c>
      <c r="H1524" t="s">
        <v>30</v>
      </c>
      <c r="I1524">
        <v>60</v>
      </c>
      <c r="J1524">
        <v>20</v>
      </c>
      <c r="K1524">
        <v>15</v>
      </c>
      <c r="L1524">
        <v>80</v>
      </c>
      <c r="M1524">
        <v>2.2</v>
      </c>
      <c r="N1524">
        <v>62.5</v>
      </c>
      <c r="O1524">
        <v>6</v>
      </c>
      <c r="P1524">
        <v>8.5</v>
      </c>
      <c r="T1524">
        <v>2</v>
      </c>
      <c r="U1524">
        <v>19.3</v>
      </c>
      <c r="V1524">
        <v>41.3</v>
      </c>
      <c r="W1524">
        <v>2090</v>
      </c>
      <c r="X1524">
        <v>30</v>
      </c>
      <c r="Y1524" t="s">
        <v>718</v>
      </c>
    </row>
    <row r="1525" spans="1:25">
      <c r="A1525" t="s">
        <v>2503</v>
      </c>
      <c r="B1525" s="2" t="str">
        <f>Hyperlink("https://www.diodes.com/datasheet/download/DMT6008LFG.pdf")</f>
        <v>https://www.diodes.com/datasheet/download/DMT6008LFG.pdf</v>
      </c>
      <c r="C1525" t="str">
        <f>Hyperlink("https://www.diodes.com/part/view/DMT6008LFG","DMT6008LFG")</f>
        <v>DMT6008LFG</v>
      </c>
      <c r="D1525" t="s">
        <v>1384</v>
      </c>
      <c r="E1525" t="s">
        <v>27</v>
      </c>
      <c r="F1525" t="s">
        <v>28</v>
      </c>
      <c r="G1525" t="s">
        <v>29</v>
      </c>
      <c r="H1525" t="s">
        <v>27</v>
      </c>
      <c r="I1525">
        <v>60</v>
      </c>
      <c r="J1525">
        <v>12</v>
      </c>
      <c r="K1525">
        <v>13</v>
      </c>
      <c r="L1525">
        <v>60</v>
      </c>
      <c r="M1525">
        <v>2.2</v>
      </c>
      <c r="N1525">
        <v>41</v>
      </c>
      <c r="O1525">
        <v>7.5</v>
      </c>
      <c r="P1525">
        <v>11.5</v>
      </c>
      <c r="T1525">
        <v>2</v>
      </c>
      <c r="U1525">
        <v>22.4</v>
      </c>
      <c r="V1525">
        <v>50.4</v>
      </c>
      <c r="W1525">
        <v>2713</v>
      </c>
      <c r="Y1525" t="s">
        <v>718</v>
      </c>
    </row>
    <row r="1526" spans="1:25">
      <c r="A1526" t="s">
        <v>2504</v>
      </c>
      <c r="B1526" s="2" t="str">
        <f>Hyperlink("https://www.diodes.com/datasheet/download/DMT6009LCT.pdf")</f>
        <v>https://www.diodes.com/datasheet/download/DMT6009LCT.pdf</v>
      </c>
      <c r="C1526" t="str">
        <f>Hyperlink("https://www.diodes.com/part/view/DMT6009LCT","DMT6009LCT")</f>
        <v>DMT6009LCT</v>
      </c>
      <c r="D1526" t="s">
        <v>26</v>
      </c>
      <c r="E1526" t="s">
        <v>30</v>
      </c>
      <c r="F1526" t="s">
        <v>28</v>
      </c>
      <c r="G1526" t="s">
        <v>29</v>
      </c>
      <c r="H1526" t="s">
        <v>30</v>
      </c>
      <c r="I1526">
        <v>60</v>
      </c>
      <c r="J1526">
        <v>16</v>
      </c>
      <c r="L1526">
        <v>37.2</v>
      </c>
      <c r="M1526">
        <v>2.2</v>
      </c>
      <c r="N1526">
        <v>25</v>
      </c>
      <c r="O1526">
        <v>12</v>
      </c>
      <c r="P1526">
        <v>14.5</v>
      </c>
      <c r="T1526">
        <v>2</v>
      </c>
      <c r="U1526">
        <v>15.6</v>
      </c>
      <c r="V1526">
        <v>33.5</v>
      </c>
      <c r="W1526">
        <v>1925</v>
      </c>
      <c r="X1526">
        <v>30</v>
      </c>
      <c r="Y1526" t="s">
        <v>2471</v>
      </c>
    </row>
    <row r="1527" spans="1:25">
      <c r="A1527" t="s">
        <v>2505</v>
      </c>
      <c r="B1527" s="2" t="str">
        <f>Hyperlink("https://www.diodes.com/datasheet/download/DMT6009LFG.pdf")</f>
        <v>https://www.diodes.com/datasheet/download/DMT6009LFG.pdf</v>
      </c>
      <c r="C1527" t="str">
        <f>Hyperlink("https://www.diodes.com/part/view/DMT6009LFG","DMT6009LFG")</f>
        <v>DMT6009LFG</v>
      </c>
      <c r="D1527" t="s">
        <v>1384</v>
      </c>
      <c r="E1527" t="s">
        <v>27</v>
      </c>
      <c r="F1527" t="s">
        <v>28</v>
      </c>
      <c r="G1527" t="s">
        <v>29</v>
      </c>
      <c r="H1527" t="s">
        <v>30</v>
      </c>
      <c r="I1527">
        <v>60</v>
      </c>
      <c r="J1527">
        <v>16</v>
      </c>
      <c r="K1527">
        <v>11</v>
      </c>
      <c r="L1527">
        <v>34</v>
      </c>
      <c r="M1527">
        <v>2.08</v>
      </c>
      <c r="N1527">
        <v>19.2</v>
      </c>
      <c r="O1527">
        <v>10</v>
      </c>
      <c r="P1527">
        <v>11.7</v>
      </c>
      <c r="T1527">
        <v>2</v>
      </c>
      <c r="U1527">
        <v>15.6</v>
      </c>
      <c r="V1527">
        <v>33.5</v>
      </c>
      <c r="W1527">
        <v>1925</v>
      </c>
      <c r="X1527">
        <v>30</v>
      </c>
      <c r="Y1527" t="s">
        <v>718</v>
      </c>
    </row>
    <row r="1528" spans="1:25">
      <c r="A1528" t="s">
        <v>2506</v>
      </c>
      <c r="B1528" s="2" t="str">
        <f>Hyperlink("https://www.diodes.com/datasheet/download/DMT6009LK3.pdf")</f>
        <v>https://www.diodes.com/datasheet/download/DMT6009LK3.pdf</v>
      </c>
      <c r="C1528" t="str">
        <f>Hyperlink("https://www.diodes.com/part/view/DMT6009LK3","DMT6009LK3")</f>
        <v>DMT6009LK3</v>
      </c>
      <c r="D1528" t="s">
        <v>1384</v>
      </c>
      <c r="E1528" t="s">
        <v>27</v>
      </c>
      <c r="F1528" t="s">
        <v>28</v>
      </c>
      <c r="G1528" t="s">
        <v>29</v>
      </c>
      <c r="H1528" t="s">
        <v>30</v>
      </c>
      <c r="I1528">
        <v>60</v>
      </c>
      <c r="J1528">
        <v>16</v>
      </c>
      <c r="K1528">
        <v>13.3</v>
      </c>
      <c r="L1528">
        <v>57</v>
      </c>
      <c r="M1528">
        <v>2.6</v>
      </c>
      <c r="N1528">
        <v>50</v>
      </c>
      <c r="O1528">
        <v>10</v>
      </c>
      <c r="P1528">
        <v>12.8</v>
      </c>
      <c r="T1528">
        <v>2</v>
      </c>
      <c r="U1528">
        <v>15.6</v>
      </c>
      <c r="V1528">
        <v>33.5</v>
      </c>
      <c r="W1528">
        <v>1925</v>
      </c>
      <c r="X1528">
        <v>30</v>
      </c>
      <c r="Y1528" t="s">
        <v>681</v>
      </c>
    </row>
    <row r="1529" spans="1:25">
      <c r="A1529" t="s">
        <v>2507</v>
      </c>
      <c r="B1529" s="2" t="str">
        <f>Hyperlink("https://www.diodes.com/datasheet/download/DMT6009LPS.pdf")</f>
        <v>https://www.diodes.com/datasheet/download/DMT6009LPS.pdf</v>
      </c>
      <c r="C1529" t="str">
        <f>Hyperlink("https://www.diodes.com/part/view/DMT6009LPS","DMT6009LPS")</f>
        <v>DMT6009LPS</v>
      </c>
      <c r="D1529" t="s">
        <v>1384</v>
      </c>
      <c r="E1529" t="s">
        <v>27</v>
      </c>
      <c r="F1529" t="s">
        <v>28</v>
      </c>
      <c r="G1529" t="s">
        <v>29</v>
      </c>
      <c r="H1529" t="s">
        <v>30</v>
      </c>
      <c r="I1529">
        <v>60</v>
      </c>
      <c r="J1529">
        <v>16</v>
      </c>
      <c r="K1529">
        <v>10.6</v>
      </c>
      <c r="L1529">
        <v>87</v>
      </c>
      <c r="M1529">
        <v>2.3</v>
      </c>
      <c r="N1529">
        <v>113</v>
      </c>
      <c r="O1529">
        <v>10</v>
      </c>
      <c r="P1529">
        <v>12</v>
      </c>
      <c r="T1529">
        <v>2</v>
      </c>
      <c r="U1529">
        <v>15.6</v>
      </c>
      <c r="V1529">
        <v>33.5</v>
      </c>
      <c r="W1529">
        <v>1925</v>
      </c>
      <c r="X1529">
        <v>30</v>
      </c>
      <c r="Y1529" t="s">
        <v>907</v>
      </c>
    </row>
    <row r="1530" spans="1:25">
      <c r="A1530" t="s">
        <v>2508</v>
      </c>
      <c r="B1530" s="2" t="str">
        <f>Hyperlink("https://www.diodes.com/datasheet/download/DMT6009LSS.pdf")</f>
        <v>https://www.diodes.com/datasheet/download/DMT6009LSS.pdf</v>
      </c>
      <c r="C1530" t="str">
        <f>Hyperlink("https://www.diodes.com/part/view/DMT6009LSS","DMT6009LSS")</f>
        <v>DMT6009LSS</v>
      </c>
      <c r="D1530" t="s">
        <v>1384</v>
      </c>
      <c r="E1530" t="s">
        <v>30</v>
      </c>
      <c r="F1530" t="s">
        <v>28</v>
      </c>
      <c r="G1530" t="s">
        <v>29</v>
      </c>
      <c r="H1530" t="s">
        <v>30</v>
      </c>
      <c r="I1530">
        <v>60</v>
      </c>
      <c r="J1530">
        <v>20</v>
      </c>
      <c r="K1530">
        <v>10.8</v>
      </c>
      <c r="M1530">
        <v>1.6</v>
      </c>
      <c r="O1530">
        <v>9.5</v>
      </c>
      <c r="P1530">
        <v>12</v>
      </c>
      <c r="T1530">
        <v>2</v>
      </c>
      <c r="U1530">
        <v>15.6</v>
      </c>
      <c r="V1530">
        <v>33.5</v>
      </c>
      <c r="W1530">
        <v>1925</v>
      </c>
      <c r="X1530">
        <v>30</v>
      </c>
      <c r="Y1530" t="s">
        <v>213</v>
      </c>
    </row>
    <row r="1531" spans="1:25">
      <c r="A1531" t="s">
        <v>2509</v>
      </c>
      <c r="B1531" s="2" t="str">
        <f>Hyperlink("https://www.diodes.com/datasheet/download/DMT6010LFG.pdf")</f>
        <v>https://www.diodes.com/datasheet/download/DMT6010LFG.pdf</v>
      </c>
      <c r="C1531" t="str">
        <f>Hyperlink("https://www.diodes.com/part/view/DMT6010LFG","DMT6010LFG")</f>
        <v>DMT6010LFG</v>
      </c>
      <c r="D1531" t="s">
        <v>1384</v>
      </c>
      <c r="E1531" t="s">
        <v>27</v>
      </c>
      <c r="F1531" t="s">
        <v>28</v>
      </c>
      <c r="G1531" t="s">
        <v>29</v>
      </c>
      <c r="H1531" t="s">
        <v>30</v>
      </c>
      <c r="I1531">
        <v>60</v>
      </c>
      <c r="J1531">
        <v>20</v>
      </c>
      <c r="K1531">
        <v>13</v>
      </c>
      <c r="L1531">
        <v>30</v>
      </c>
      <c r="M1531">
        <v>2.2</v>
      </c>
      <c r="O1531">
        <v>7.5</v>
      </c>
      <c r="P1531">
        <v>11.5</v>
      </c>
      <c r="T1531">
        <v>2</v>
      </c>
      <c r="U1531">
        <v>19.3</v>
      </c>
      <c r="V1531">
        <v>41.3</v>
      </c>
      <c r="W1531">
        <v>2090</v>
      </c>
      <c r="Y1531" t="s">
        <v>718</v>
      </c>
    </row>
    <row r="1532" spans="1:25">
      <c r="A1532" t="s">
        <v>2510</v>
      </c>
      <c r="B1532" s="2" t="str">
        <f>Hyperlink("https://www.diodes.com/datasheet/download/DMT6010LPS.pdf")</f>
        <v>https://www.diodes.com/datasheet/download/DMT6010LPS.pdf</v>
      </c>
      <c r="C1532" t="str">
        <f>Hyperlink("https://www.diodes.com/part/view/DMT6010LPS","DMT6010LPS")</f>
        <v>DMT6010LPS</v>
      </c>
      <c r="D1532" t="s">
        <v>1384</v>
      </c>
      <c r="E1532" t="s">
        <v>27</v>
      </c>
      <c r="F1532" t="s">
        <v>28</v>
      </c>
      <c r="G1532" t="s">
        <v>29</v>
      </c>
      <c r="H1532" t="s">
        <v>30</v>
      </c>
      <c r="I1532">
        <v>60</v>
      </c>
      <c r="J1532">
        <v>20</v>
      </c>
      <c r="K1532">
        <v>13.5</v>
      </c>
      <c r="L1532">
        <v>80</v>
      </c>
      <c r="M1532">
        <v>2.2</v>
      </c>
      <c r="N1532">
        <v>113</v>
      </c>
      <c r="O1532">
        <v>8</v>
      </c>
      <c r="P1532">
        <v>12</v>
      </c>
      <c r="T1532">
        <v>3</v>
      </c>
      <c r="U1532">
        <v>19.3</v>
      </c>
      <c r="V1532">
        <v>41.3</v>
      </c>
      <c r="W1532">
        <v>2090</v>
      </c>
      <c r="Y1532" t="s">
        <v>907</v>
      </c>
    </row>
    <row r="1533" spans="1:25">
      <c r="A1533" t="s">
        <v>2511</v>
      </c>
      <c r="B1533" s="2" t="str">
        <f>Hyperlink("https://www.diodes.com/datasheet/download/DMT6010LSS.pdf")</f>
        <v>https://www.diodes.com/datasheet/download/DMT6010LSS.pdf</v>
      </c>
      <c r="C1533" t="str">
        <f>Hyperlink("https://www.diodes.com/part/view/DMT6010LSS","DMT6010LSS")</f>
        <v>DMT6010LSS</v>
      </c>
      <c r="D1533" t="s">
        <v>26</v>
      </c>
      <c r="E1533" t="s">
        <v>27</v>
      </c>
      <c r="F1533" t="s">
        <v>28</v>
      </c>
      <c r="G1533" t="s">
        <v>29</v>
      </c>
      <c r="H1533" t="s">
        <v>30</v>
      </c>
      <c r="I1533">
        <v>60</v>
      </c>
      <c r="J1533">
        <v>20</v>
      </c>
      <c r="K1533">
        <v>14</v>
      </c>
      <c r="M1533">
        <v>2</v>
      </c>
      <c r="O1533">
        <v>8</v>
      </c>
      <c r="P1533">
        <v>12</v>
      </c>
      <c r="T1533">
        <v>2</v>
      </c>
      <c r="U1533">
        <v>19.3</v>
      </c>
      <c r="V1533">
        <v>41.3</v>
      </c>
      <c r="W1533">
        <v>2090</v>
      </c>
      <c r="X1533">
        <v>30</v>
      </c>
      <c r="Y1533" t="s">
        <v>213</v>
      </c>
    </row>
    <row r="1534" spans="1:25">
      <c r="A1534" t="s">
        <v>2512</v>
      </c>
      <c r="B1534" s="2" t="str">
        <f>Hyperlink("https://www.diodes.com/datasheet/download/DMT6010SCT.pdf")</f>
        <v>https://www.diodes.com/datasheet/download/DMT6010SCT.pdf</v>
      </c>
      <c r="C1534" t="str">
        <f>Hyperlink("https://www.diodes.com/part/view/DMT6010SCT","DMT6010SCT")</f>
        <v>DMT6010SCT</v>
      </c>
      <c r="D1534" t="s">
        <v>1384</v>
      </c>
      <c r="E1534" t="s">
        <v>30</v>
      </c>
      <c r="F1534" t="s">
        <v>28</v>
      </c>
      <c r="G1534" t="s">
        <v>29</v>
      </c>
      <c r="H1534" t="s">
        <v>30</v>
      </c>
      <c r="I1534">
        <v>60</v>
      </c>
      <c r="J1534">
        <v>20</v>
      </c>
      <c r="L1534">
        <v>98</v>
      </c>
      <c r="M1534">
        <v>2.3</v>
      </c>
      <c r="N1534">
        <v>104</v>
      </c>
      <c r="O1534">
        <v>7.2</v>
      </c>
      <c r="T1534">
        <v>4</v>
      </c>
      <c r="V1534">
        <v>36.3</v>
      </c>
      <c r="W1534">
        <v>1940</v>
      </c>
      <c r="X1534">
        <v>30</v>
      </c>
      <c r="Y1534" t="s">
        <v>2471</v>
      </c>
    </row>
    <row r="1535" spans="1:25">
      <c r="A1535" t="s">
        <v>2513</v>
      </c>
      <c r="B1535" s="2" t="str">
        <f>Hyperlink("https://www.diodes.com/datasheet/download/DMT6011LPDW.pdf")</f>
        <v>https://www.diodes.com/datasheet/download/DMT6011LPDW.pdf</v>
      </c>
      <c r="C1535" t="str">
        <f>Hyperlink("https://www.diodes.com/part/view/DMT6011LPDW","DMT6011LPDW")</f>
        <v>DMT6011LPDW</v>
      </c>
      <c r="D1535" t="s">
        <v>46</v>
      </c>
      <c r="E1535" t="s">
        <v>30</v>
      </c>
      <c r="F1535" t="s">
        <v>28</v>
      </c>
      <c r="G1535" t="s">
        <v>40</v>
      </c>
      <c r="H1535" t="s">
        <v>27</v>
      </c>
      <c r="I1535">
        <v>60</v>
      </c>
      <c r="J1535">
        <v>20</v>
      </c>
      <c r="K1535">
        <v>10.3</v>
      </c>
      <c r="M1535">
        <v>2.5</v>
      </c>
      <c r="O1535">
        <v>14</v>
      </c>
      <c r="P1535">
        <v>22</v>
      </c>
      <c r="T1535">
        <v>2.5</v>
      </c>
      <c r="U1535">
        <v>11.8</v>
      </c>
      <c r="V1535">
        <v>22.2</v>
      </c>
      <c r="Y1535" t="s">
        <v>907</v>
      </c>
    </row>
    <row r="1536" spans="1:25">
      <c r="A1536" t="s">
        <v>2514</v>
      </c>
      <c r="B1536" s="2" t="str">
        <f>Hyperlink("https://www.diodes.com/datasheet/download/DMT6011LSS.pdf")</f>
        <v>https://www.diodes.com/datasheet/download/DMT6011LSS.pdf</v>
      </c>
      <c r="C1536" t="str">
        <f>Hyperlink("https://www.diodes.com/part/view/DMT6011LSS","DMT6011LSS")</f>
        <v>DMT6011LSS</v>
      </c>
      <c r="D1536" t="s">
        <v>1384</v>
      </c>
      <c r="E1536" t="s">
        <v>30</v>
      </c>
      <c r="F1536" t="s">
        <v>28</v>
      </c>
      <c r="G1536" t="s">
        <v>29</v>
      </c>
      <c r="H1536" t="s">
        <v>27</v>
      </c>
      <c r="I1536">
        <v>60</v>
      </c>
      <c r="J1536">
        <v>20</v>
      </c>
      <c r="K1536">
        <v>11.4</v>
      </c>
      <c r="M1536">
        <v>2.1</v>
      </c>
      <c r="O1536">
        <v>11</v>
      </c>
      <c r="P1536">
        <v>14.5</v>
      </c>
      <c r="T1536">
        <v>2.5</v>
      </c>
      <c r="U1536">
        <v>11.8</v>
      </c>
      <c r="V1536">
        <v>22.2</v>
      </c>
      <c r="W1536">
        <v>1072</v>
      </c>
      <c r="X1536">
        <v>30</v>
      </c>
      <c r="Y1536" t="s">
        <v>213</v>
      </c>
    </row>
    <row r="1537" spans="1:25">
      <c r="A1537" t="s">
        <v>2515</v>
      </c>
      <c r="B1537" s="2" t="str">
        <f>Hyperlink("https://www.diodes.com/datasheet/download/DMT6012LFDF.pdf")</f>
        <v>https://www.diodes.com/datasheet/download/DMT6012LFDF.pdf</v>
      </c>
      <c r="C1537" t="str">
        <f>Hyperlink("https://www.diodes.com/part/view/DMT6012LFDF","DMT6012LFDF")</f>
        <v>DMT6012LFDF</v>
      </c>
      <c r="D1537" t="s">
        <v>1384</v>
      </c>
      <c r="E1537" t="s">
        <v>30</v>
      </c>
      <c r="F1537" t="s">
        <v>28</v>
      </c>
      <c r="G1537" t="s">
        <v>29</v>
      </c>
      <c r="H1537" t="s">
        <v>30</v>
      </c>
      <c r="I1537">
        <v>60</v>
      </c>
      <c r="J1537">
        <v>20</v>
      </c>
      <c r="K1537">
        <v>9.5</v>
      </c>
      <c r="M1537">
        <v>1.9</v>
      </c>
      <c r="N1537">
        <v>11</v>
      </c>
      <c r="O1537">
        <v>14</v>
      </c>
      <c r="P1537">
        <v>21</v>
      </c>
      <c r="T1537">
        <v>2.3</v>
      </c>
      <c r="U1537">
        <v>7.3</v>
      </c>
      <c r="V1537">
        <v>13.6</v>
      </c>
      <c r="W1537">
        <v>785</v>
      </c>
      <c r="X1537">
        <v>30</v>
      </c>
      <c r="Y1537" t="s">
        <v>780</v>
      </c>
    </row>
    <row r="1538" spans="1:25">
      <c r="A1538" t="s">
        <v>2516</v>
      </c>
      <c r="B1538" s="2" t="str">
        <f>Hyperlink("https://www.diodes.com/datasheet/download/DMT6012LFV.pdf")</f>
        <v>https://www.diodes.com/datasheet/download/DMT6012LFV.pdf</v>
      </c>
      <c r="C1538" t="str">
        <f>Hyperlink("https://www.diodes.com/part/view/DMT6012LFV","DMT6012LFV")</f>
        <v>DMT6012LFV</v>
      </c>
      <c r="D1538" t="s">
        <v>1384</v>
      </c>
      <c r="E1538" t="s">
        <v>30</v>
      </c>
      <c r="F1538" t="s">
        <v>28</v>
      </c>
      <c r="G1538" t="s">
        <v>29</v>
      </c>
      <c r="H1538" t="s">
        <v>27</v>
      </c>
      <c r="I1538">
        <v>60</v>
      </c>
      <c r="J1538">
        <v>20</v>
      </c>
      <c r="L1538">
        <v>43.3</v>
      </c>
      <c r="M1538">
        <v>1.95</v>
      </c>
      <c r="N1538">
        <v>33.78</v>
      </c>
      <c r="O1538">
        <v>12</v>
      </c>
      <c r="P1538">
        <v>15</v>
      </c>
      <c r="T1538">
        <v>2.5</v>
      </c>
      <c r="U1538">
        <v>10.7</v>
      </c>
      <c r="V1538">
        <v>22.2</v>
      </c>
      <c r="W1538">
        <v>1522</v>
      </c>
      <c r="X1538">
        <v>30</v>
      </c>
      <c r="Y1538" t="s">
        <v>718</v>
      </c>
    </row>
    <row r="1539" spans="1:25">
      <c r="A1539" t="s">
        <v>2517</v>
      </c>
      <c r="B1539" s="2" t="str">
        <f>Hyperlink("https://www.diodes.com/datasheet/download/DMT6012LPSW.pdf")</f>
        <v>https://www.diodes.com/datasheet/download/DMT6012LPSW.pdf</v>
      </c>
      <c r="C1539" t="str">
        <f>Hyperlink("https://www.diodes.com/part/view/DMT6012LPSW","DMT6012LPSW")</f>
        <v>DMT6012LPSW</v>
      </c>
      <c r="D1539" t="s">
        <v>1384</v>
      </c>
      <c r="E1539" t="s">
        <v>30</v>
      </c>
      <c r="F1539" t="s">
        <v>28</v>
      </c>
      <c r="G1539" t="s">
        <v>29</v>
      </c>
      <c r="H1539" t="s">
        <v>27</v>
      </c>
      <c r="I1539">
        <v>60</v>
      </c>
      <c r="J1539">
        <v>20</v>
      </c>
      <c r="K1539">
        <v>13.1</v>
      </c>
      <c r="L1539">
        <v>31.5</v>
      </c>
      <c r="M1539">
        <v>3.1</v>
      </c>
      <c r="N1539">
        <v>17.9</v>
      </c>
      <c r="O1539">
        <v>12</v>
      </c>
      <c r="P1539">
        <v>17</v>
      </c>
      <c r="T1539">
        <v>2.5</v>
      </c>
      <c r="U1539">
        <v>10.7</v>
      </c>
      <c r="V1539">
        <v>22.2</v>
      </c>
      <c r="W1539">
        <v>1522</v>
      </c>
      <c r="X1539">
        <v>30</v>
      </c>
      <c r="Y1539" t="s">
        <v>907</v>
      </c>
    </row>
    <row r="1540" spans="1:25">
      <c r="A1540" t="s">
        <v>2518</v>
      </c>
      <c r="B1540" s="2" t="str">
        <f>Hyperlink("https://www.diodes.com/datasheet/download/DMT6012LSS.pdf")</f>
        <v>https://www.diodes.com/datasheet/download/DMT6012LSS.pdf</v>
      </c>
      <c r="C1540" t="str">
        <f>Hyperlink("https://www.diodes.com/part/view/DMT6012LSS","DMT6012LSS")</f>
        <v>DMT6012LSS</v>
      </c>
      <c r="D1540" t="s">
        <v>1384</v>
      </c>
      <c r="E1540" t="s">
        <v>30</v>
      </c>
      <c r="F1540" t="s">
        <v>28</v>
      </c>
      <c r="G1540" t="s">
        <v>29</v>
      </c>
      <c r="H1540" t="s">
        <v>27</v>
      </c>
      <c r="I1540">
        <v>60</v>
      </c>
      <c r="J1540">
        <v>20</v>
      </c>
      <c r="K1540">
        <v>10.4</v>
      </c>
      <c r="M1540">
        <v>1.84</v>
      </c>
      <c r="N1540">
        <v>13.4</v>
      </c>
      <c r="O1540">
        <v>11</v>
      </c>
      <c r="P1540">
        <v>14</v>
      </c>
      <c r="T1540">
        <v>2</v>
      </c>
      <c r="U1540">
        <v>10.7</v>
      </c>
      <c r="V1540">
        <v>22.2</v>
      </c>
      <c r="W1540">
        <v>1522</v>
      </c>
      <c r="X1540">
        <v>30</v>
      </c>
      <c r="Y1540" t="s">
        <v>213</v>
      </c>
    </row>
    <row r="1541" spans="1:25">
      <c r="A1541" t="s">
        <v>2519</v>
      </c>
      <c r="B1541" s="2" t="str">
        <f>Hyperlink("https://www.diodes.com/datasheet/download/DMT6013LFDF.pdf")</f>
        <v>https://www.diodes.com/datasheet/download/DMT6013LFDF.pdf</v>
      </c>
      <c r="C1541" t="str">
        <f>Hyperlink("https://www.diodes.com/part/view/DMT6013LFDF","DMT6013LFDF")</f>
        <v>DMT6013LFDF</v>
      </c>
      <c r="D1541" t="s">
        <v>1384</v>
      </c>
      <c r="E1541" t="s">
        <v>30</v>
      </c>
      <c r="F1541" t="s">
        <v>28</v>
      </c>
      <c r="G1541" t="s">
        <v>29</v>
      </c>
      <c r="H1541" t="s">
        <v>30</v>
      </c>
      <c r="I1541">
        <v>60</v>
      </c>
      <c r="J1541">
        <v>20</v>
      </c>
      <c r="K1541">
        <v>10</v>
      </c>
      <c r="M1541">
        <v>1.9</v>
      </c>
      <c r="N1541">
        <v>10.8</v>
      </c>
      <c r="O1541">
        <v>15</v>
      </c>
      <c r="P1541">
        <v>21.5</v>
      </c>
      <c r="T1541">
        <v>2.3</v>
      </c>
      <c r="U1541">
        <v>8.5</v>
      </c>
      <c r="V1541">
        <v>15</v>
      </c>
      <c r="W1541">
        <v>1081</v>
      </c>
      <c r="X1541">
        <v>30</v>
      </c>
      <c r="Y1541" t="s">
        <v>780</v>
      </c>
    </row>
    <row r="1542" spans="1:25">
      <c r="A1542" t="s">
        <v>2520</v>
      </c>
      <c r="B1542" s="2" t="str">
        <f>Hyperlink("https://www.diodes.com/datasheet/download/DMT6013LSS.pdf")</f>
        <v>https://www.diodes.com/datasheet/download/DMT6013LSS.pdf</v>
      </c>
      <c r="C1542" t="str">
        <f>Hyperlink("https://www.diodes.com/part/view/DMT6013LSS","DMT6013LSS")</f>
        <v>DMT6013LSS</v>
      </c>
      <c r="D1542" t="s">
        <v>1384</v>
      </c>
      <c r="E1542" t="s">
        <v>30</v>
      </c>
      <c r="F1542" t="s">
        <v>28</v>
      </c>
      <c r="G1542" t="s">
        <v>29</v>
      </c>
      <c r="H1542" t="s">
        <v>30</v>
      </c>
      <c r="I1542">
        <v>60</v>
      </c>
      <c r="J1542">
        <v>20</v>
      </c>
      <c r="K1542">
        <v>10</v>
      </c>
      <c r="M1542">
        <v>2.1</v>
      </c>
      <c r="O1542">
        <v>14.3</v>
      </c>
      <c r="P1542">
        <v>21</v>
      </c>
      <c r="T1542">
        <v>2.5</v>
      </c>
      <c r="U1542">
        <v>8.5</v>
      </c>
      <c r="V1542">
        <v>15</v>
      </c>
      <c r="W1542">
        <v>1081</v>
      </c>
      <c r="X1542">
        <v>30</v>
      </c>
      <c r="Y1542" t="s">
        <v>213</v>
      </c>
    </row>
    <row r="1543" spans="1:25">
      <c r="A1543" t="s">
        <v>2521</v>
      </c>
      <c r="B1543" s="2" t="str">
        <f>Hyperlink("https://www.diodes.com/datasheet/download/DMT6015LFV.pdf")</f>
        <v>https://www.diodes.com/datasheet/download/DMT6015LFV.pdf</v>
      </c>
      <c r="C1543" t="str">
        <f>Hyperlink("https://www.diodes.com/part/view/DMT6015LFV","DMT6015LFV")</f>
        <v>DMT6015LFV</v>
      </c>
      <c r="D1543" t="s">
        <v>26</v>
      </c>
      <c r="E1543" t="s">
        <v>30</v>
      </c>
      <c r="F1543" t="s">
        <v>28</v>
      </c>
      <c r="G1543" t="s">
        <v>29</v>
      </c>
      <c r="H1543" t="s">
        <v>27</v>
      </c>
      <c r="I1543">
        <v>60</v>
      </c>
      <c r="J1543">
        <v>16</v>
      </c>
      <c r="K1543">
        <v>9.5</v>
      </c>
      <c r="L1543">
        <v>35</v>
      </c>
      <c r="M1543">
        <v>2.2</v>
      </c>
      <c r="N1543">
        <v>30</v>
      </c>
      <c r="O1543">
        <v>16</v>
      </c>
      <c r="P1543">
        <v>22</v>
      </c>
      <c r="T1543">
        <v>2.5</v>
      </c>
      <c r="U1543">
        <v>8.9</v>
      </c>
      <c r="V1543">
        <v>18.9</v>
      </c>
      <c r="W1543">
        <v>1103</v>
      </c>
      <c r="X1543">
        <v>30</v>
      </c>
      <c r="Y1543" t="s">
        <v>783</v>
      </c>
    </row>
    <row r="1544" spans="1:25">
      <c r="A1544" t="s">
        <v>2522</v>
      </c>
      <c r="B1544" s="2" t="str">
        <f>Hyperlink("https://www.diodes.com/datasheet/download/DMT6015LFVW.pdf")</f>
        <v>https://www.diodes.com/datasheet/download/DMT6015LFVW.pdf</v>
      </c>
      <c r="C1544" t="str">
        <f>Hyperlink("https://www.diodes.com/part/view/DMT6015LFVW","DMT6015LFVW")</f>
        <v>DMT6015LFVW</v>
      </c>
      <c r="D1544" t="s">
        <v>1384</v>
      </c>
      <c r="E1544" t="s">
        <v>30</v>
      </c>
      <c r="F1544" t="s">
        <v>28</v>
      </c>
      <c r="G1544" t="s">
        <v>29</v>
      </c>
      <c r="H1544" t="s">
        <v>27</v>
      </c>
      <c r="I1544">
        <v>60</v>
      </c>
      <c r="J1544">
        <v>16</v>
      </c>
      <c r="K1544">
        <v>10</v>
      </c>
      <c r="L1544">
        <v>31.8</v>
      </c>
      <c r="M1544">
        <v>2.8</v>
      </c>
      <c r="N1544">
        <v>28.4</v>
      </c>
      <c r="O1544">
        <v>16</v>
      </c>
      <c r="P1544">
        <v>22</v>
      </c>
      <c r="T1544">
        <v>2.5</v>
      </c>
      <c r="U1544">
        <v>8.6</v>
      </c>
      <c r="V1544">
        <v>15.7</v>
      </c>
      <c r="W1544">
        <v>808</v>
      </c>
      <c r="X1544">
        <v>30</v>
      </c>
      <c r="Y1544" t="s">
        <v>718</v>
      </c>
    </row>
    <row r="1545" spans="1:25">
      <c r="A1545" t="s">
        <v>2523</v>
      </c>
      <c r="B1545" s="2" t="str">
        <f>Hyperlink("https://www.diodes.com/datasheet/download/DMT6015LPDW.pdf")</f>
        <v>https://www.diodes.com/datasheet/download/DMT6015LPDW.pdf</v>
      </c>
      <c r="C1545" t="str">
        <f>Hyperlink("https://www.diodes.com/part/view/DMT6015LPDW","DMT6015LPDW")</f>
        <v>DMT6015LPDW</v>
      </c>
      <c r="D1545" t="s">
        <v>46</v>
      </c>
      <c r="E1545" t="s">
        <v>30</v>
      </c>
      <c r="F1545" t="s">
        <v>28</v>
      </c>
      <c r="G1545" t="s">
        <v>40</v>
      </c>
      <c r="H1545" t="s">
        <v>27</v>
      </c>
      <c r="I1545">
        <v>60</v>
      </c>
      <c r="J1545">
        <v>16</v>
      </c>
      <c r="K1545">
        <v>9.4</v>
      </c>
      <c r="L1545">
        <v>17.1</v>
      </c>
      <c r="M1545">
        <v>2.4</v>
      </c>
      <c r="N1545">
        <v>7.9</v>
      </c>
      <c r="O1545">
        <v>18</v>
      </c>
      <c r="P1545">
        <v>24.5</v>
      </c>
      <c r="T1545">
        <v>2.5</v>
      </c>
      <c r="U1545">
        <v>8.6</v>
      </c>
      <c r="V1545">
        <v>15.7</v>
      </c>
      <c r="W1545">
        <v>808</v>
      </c>
      <c r="X1545">
        <v>30</v>
      </c>
      <c r="Y1545" t="s">
        <v>168</v>
      </c>
    </row>
    <row r="1546" spans="1:25">
      <c r="A1546" t="s">
        <v>2524</v>
      </c>
      <c r="B1546" s="2" t="str">
        <f>Hyperlink("https://www.diodes.com/datasheet/download/DMT6015LPS.pdf")</f>
        <v>https://www.diodes.com/datasheet/download/DMT6015LPS.pdf</v>
      </c>
      <c r="C1546" t="str">
        <f>Hyperlink("https://www.diodes.com/part/view/DMT6015LPS","DMT6015LPS")</f>
        <v>DMT6015LPS</v>
      </c>
      <c r="D1546" t="s">
        <v>1384</v>
      </c>
      <c r="E1546" t="s">
        <v>30</v>
      </c>
      <c r="F1546" t="s">
        <v>28</v>
      </c>
      <c r="G1546" t="s">
        <v>29</v>
      </c>
      <c r="H1546" t="s">
        <v>27</v>
      </c>
      <c r="I1546">
        <v>60</v>
      </c>
      <c r="J1546">
        <v>16</v>
      </c>
      <c r="K1546">
        <v>10.6</v>
      </c>
      <c r="L1546">
        <v>31</v>
      </c>
      <c r="M1546">
        <v>2.7</v>
      </c>
      <c r="O1546">
        <v>16</v>
      </c>
      <c r="P1546">
        <v>24</v>
      </c>
      <c r="T1546">
        <v>2.5</v>
      </c>
      <c r="U1546">
        <v>8.9</v>
      </c>
      <c r="V1546">
        <v>18.9</v>
      </c>
      <c r="W1546">
        <v>1103</v>
      </c>
      <c r="X1546">
        <v>30</v>
      </c>
      <c r="Y1546" t="s">
        <v>907</v>
      </c>
    </row>
    <row r="1547" spans="1:25">
      <c r="A1547" t="s">
        <v>2525</v>
      </c>
      <c r="B1547" s="2" t="str">
        <f>Hyperlink("https://www.diodes.com/datasheet/download/DMT6015LSS.pdf")</f>
        <v>https://www.diodes.com/datasheet/download/DMT6015LSS.pdf</v>
      </c>
      <c r="C1547" t="str">
        <f>Hyperlink("https://www.diodes.com/part/view/DMT6015LSS","DMT6015LSS")</f>
        <v>DMT6015LSS</v>
      </c>
      <c r="D1547" t="s">
        <v>2526</v>
      </c>
      <c r="E1547" t="s">
        <v>30</v>
      </c>
      <c r="F1547" t="s">
        <v>28</v>
      </c>
      <c r="G1547" t="s">
        <v>29</v>
      </c>
      <c r="H1547" t="s">
        <v>27</v>
      </c>
      <c r="I1547">
        <v>60</v>
      </c>
      <c r="J1547">
        <v>16</v>
      </c>
      <c r="K1547">
        <v>9.2</v>
      </c>
      <c r="M1547">
        <v>2.1</v>
      </c>
      <c r="O1547">
        <v>16</v>
      </c>
      <c r="P1547">
        <v>21</v>
      </c>
      <c r="T1547">
        <v>2.5</v>
      </c>
      <c r="U1547">
        <v>8.9</v>
      </c>
      <c r="V1547">
        <v>18.9</v>
      </c>
      <c r="W1547">
        <v>1103</v>
      </c>
      <c r="X1547">
        <v>30</v>
      </c>
      <c r="Y1547" t="s">
        <v>213</v>
      </c>
    </row>
    <row r="1548" spans="1:25">
      <c r="A1548" t="s">
        <v>2527</v>
      </c>
      <c r="B1548" s="2" t="str">
        <f>Hyperlink("https://www.diodes.com/datasheet/download/DMT6016LFDF.pdf")</f>
        <v>https://www.diodes.com/datasheet/download/DMT6016LFDF.pdf</v>
      </c>
      <c r="C1548" t="str">
        <f>Hyperlink("https://www.diodes.com/part/view/DMT6016LFDF","DMT6016LFDF")</f>
        <v>DMT6016LFDF</v>
      </c>
      <c r="D1548" t="s">
        <v>1384</v>
      </c>
      <c r="E1548" t="s">
        <v>27</v>
      </c>
      <c r="F1548" t="s">
        <v>28</v>
      </c>
      <c r="G1548" t="s">
        <v>29</v>
      </c>
      <c r="H1548" t="s">
        <v>30</v>
      </c>
      <c r="I1548">
        <v>60</v>
      </c>
      <c r="J1548">
        <v>20</v>
      </c>
      <c r="K1548">
        <v>8.9</v>
      </c>
      <c r="M1548">
        <v>1.9</v>
      </c>
      <c r="O1548">
        <v>16</v>
      </c>
      <c r="P1548">
        <v>27</v>
      </c>
      <c r="T1548">
        <v>3</v>
      </c>
      <c r="U1548">
        <v>8.4</v>
      </c>
      <c r="V1548">
        <v>17</v>
      </c>
      <c r="W1548">
        <v>864</v>
      </c>
      <c r="Y1548" t="s">
        <v>780</v>
      </c>
    </row>
    <row r="1549" spans="1:25">
      <c r="A1549" t="s">
        <v>2528</v>
      </c>
      <c r="B1549" s="2" t="str">
        <f>Hyperlink("https://www.diodes.com/datasheet/download/DMT6016LPS.pdf")</f>
        <v>https://www.diodes.com/datasheet/download/DMT6016LPS.pdf</v>
      </c>
      <c r="C1549" t="str">
        <f>Hyperlink("https://www.diodes.com/part/view/DMT6016LPS","DMT6016LPS")</f>
        <v>DMT6016LPS</v>
      </c>
      <c r="D1549" t="s">
        <v>1384</v>
      </c>
      <c r="E1549" t="s">
        <v>27</v>
      </c>
      <c r="F1549" t="s">
        <v>28</v>
      </c>
      <c r="G1549" t="s">
        <v>29</v>
      </c>
      <c r="H1549" t="s">
        <v>30</v>
      </c>
      <c r="I1549">
        <v>60</v>
      </c>
      <c r="J1549">
        <v>20</v>
      </c>
      <c r="K1549">
        <v>10</v>
      </c>
      <c r="L1549">
        <v>32</v>
      </c>
      <c r="M1549">
        <v>2.55</v>
      </c>
      <c r="O1549">
        <v>16</v>
      </c>
      <c r="P1549">
        <v>24</v>
      </c>
      <c r="T1549">
        <v>2.5</v>
      </c>
      <c r="U1549">
        <v>8.4</v>
      </c>
      <c r="V1549">
        <v>17</v>
      </c>
      <c r="W1549">
        <v>864</v>
      </c>
      <c r="Y1549" t="s">
        <v>907</v>
      </c>
    </row>
    <row r="1550" spans="1:25">
      <c r="A1550" t="s">
        <v>2529</v>
      </c>
      <c r="B1550" s="2" t="str">
        <f>Hyperlink("https://www.diodes.com/datasheet/download/DMT6016LPSW.pdf")</f>
        <v>https://www.diodes.com/datasheet/download/DMT6016LPSW.pdf</v>
      </c>
      <c r="C1550" t="str">
        <f>Hyperlink("https://www.diodes.com/part/view/DMT6016LPSW","DMT6016LPSW")</f>
        <v>DMT6016LPSW</v>
      </c>
      <c r="D1550" t="s">
        <v>1384</v>
      </c>
      <c r="E1550" t="s">
        <v>30</v>
      </c>
      <c r="F1550" t="s">
        <v>28</v>
      </c>
      <c r="G1550" t="s">
        <v>29</v>
      </c>
      <c r="H1550" t="s">
        <v>30</v>
      </c>
      <c r="I1550">
        <v>60</v>
      </c>
      <c r="J1550">
        <v>20</v>
      </c>
      <c r="K1550">
        <v>11.2</v>
      </c>
      <c r="L1550">
        <v>43</v>
      </c>
      <c r="M1550">
        <v>2.84</v>
      </c>
      <c r="N1550">
        <v>41.67</v>
      </c>
      <c r="O1550">
        <v>16.5</v>
      </c>
      <c r="P1550">
        <v>26</v>
      </c>
      <c r="T1550">
        <v>2.5</v>
      </c>
      <c r="U1550">
        <v>8.4</v>
      </c>
      <c r="V1550">
        <v>17</v>
      </c>
      <c r="W1550">
        <v>864</v>
      </c>
      <c r="X1550">
        <v>30</v>
      </c>
      <c r="Y1550" t="s">
        <v>907</v>
      </c>
    </row>
    <row r="1551" spans="1:25">
      <c r="A1551" t="s">
        <v>2530</v>
      </c>
      <c r="B1551" s="2" t="str">
        <f>Hyperlink("https://www.diodes.com/datasheet/download/DMT6016LSS.pdf")</f>
        <v>https://www.diodes.com/datasheet/download/DMT6016LSS.pdf</v>
      </c>
      <c r="C1551" t="str">
        <f>Hyperlink("https://www.diodes.com/part/view/DMT6016LSS","DMT6016LSS")</f>
        <v>DMT6016LSS</v>
      </c>
      <c r="D1551" t="s">
        <v>1384</v>
      </c>
      <c r="E1551" t="s">
        <v>27</v>
      </c>
      <c r="F1551" t="s">
        <v>28</v>
      </c>
      <c r="G1551" t="s">
        <v>29</v>
      </c>
      <c r="H1551" t="s">
        <v>30</v>
      </c>
      <c r="I1551">
        <v>60</v>
      </c>
      <c r="J1551">
        <v>20</v>
      </c>
      <c r="K1551">
        <v>9.2</v>
      </c>
      <c r="M1551">
        <v>2.1</v>
      </c>
      <c r="O1551">
        <v>18</v>
      </c>
      <c r="P1551">
        <v>28</v>
      </c>
      <c r="T1551">
        <v>2.5</v>
      </c>
      <c r="U1551">
        <v>8.4</v>
      </c>
      <c r="V1551">
        <v>17</v>
      </c>
      <c r="W1551">
        <v>864</v>
      </c>
      <c r="Y1551" t="s">
        <v>213</v>
      </c>
    </row>
    <row r="1552" spans="1:25">
      <c r="A1552" t="s">
        <v>2531</v>
      </c>
      <c r="B1552" s="2" t="str">
        <f>Hyperlink("https://www.diodes.com/datasheet/download/DMT6017LDV.pdf")</f>
        <v>https://www.diodes.com/datasheet/download/DMT6017LDV.pdf</v>
      </c>
      <c r="C1552" t="str">
        <f>Hyperlink("https://www.diodes.com/part/view/DMT6017LDV","DMT6017LDV")</f>
        <v>DMT6017LDV</v>
      </c>
      <c r="D1552" t="s">
        <v>2532</v>
      </c>
      <c r="E1552" t="s">
        <v>30</v>
      </c>
      <c r="F1552" t="s">
        <v>28</v>
      </c>
      <c r="G1552" t="s">
        <v>29</v>
      </c>
      <c r="H1552" t="s">
        <v>27</v>
      </c>
      <c r="I1552">
        <v>65</v>
      </c>
      <c r="J1552">
        <v>16</v>
      </c>
      <c r="L1552">
        <v>25.3</v>
      </c>
      <c r="M1552">
        <v>2.34</v>
      </c>
      <c r="O1552">
        <v>22</v>
      </c>
      <c r="P1552">
        <v>29</v>
      </c>
      <c r="T1552">
        <v>2.3</v>
      </c>
      <c r="U1552">
        <v>7.5</v>
      </c>
      <c r="V1552">
        <v>15.3</v>
      </c>
      <c r="W1552">
        <v>891</v>
      </c>
      <c r="X1552">
        <v>30</v>
      </c>
      <c r="Y1552" t="s">
        <v>718</v>
      </c>
    </row>
    <row r="1553" spans="1:25">
      <c r="A1553" t="s">
        <v>2533</v>
      </c>
      <c r="B1553" s="2" t="str">
        <f>Hyperlink("https://www.diodes.com/datasheet/download/DMT6017LFDF.pdf")</f>
        <v>https://www.diodes.com/datasheet/download/DMT6017LFDF.pdf</v>
      </c>
      <c r="C1553" t="str">
        <f>Hyperlink("https://www.diodes.com/part/view/DMT6017LFDF","DMT6017LFDF")</f>
        <v>DMT6017LFDF</v>
      </c>
      <c r="D1553" t="s">
        <v>2532</v>
      </c>
      <c r="E1553" t="s">
        <v>30</v>
      </c>
      <c r="F1553" t="s">
        <v>28</v>
      </c>
      <c r="G1553" t="s">
        <v>29</v>
      </c>
      <c r="H1553" t="s">
        <v>27</v>
      </c>
      <c r="I1553">
        <v>65</v>
      </c>
      <c r="J1553">
        <v>16</v>
      </c>
      <c r="K1553">
        <v>8.1</v>
      </c>
      <c r="M1553">
        <v>1.76</v>
      </c>
      <c r="O1553">
        <v>18</v>
      </c>
      <c r="P1553">
        <v>23</v>
      </c>
      <c r="T1553">
        <v>2.3</v>
      </c>
      <c r="U1553">
        <v>7.5</v>
      </c>
      <c r="V1553">
        <v>15.3</v>
      </c>
      <c r="W1553">
        <v>891</v>
      </c>
      <c r="X1553">
        <v>30</v>
      </c>
      <c r="Y1553" t="s">
        <v>780</v>
      </c>
    </row>
    <row r="1554" spans="1:25">
      <c r="A1554" t="s">
        <v>2534</v>
      </c>
      <c r="B1554" s="2" t="str">
        <f>Hyperlink("https://www.diodes.com/datasheet/download/DMT6017LFV.pdf")</f>
        <v>https://www.diodes.com/datasheet/download/DMT6017LFV.pdf</v>
      </c>
      <c r="C1554" t="str">
        <f>Hyperlink("https://www.diodes.com/part/view/DMT6017LFV","DMT6017LFV")</f>
        <v>DMT6017LFV</v>
      </c>
      <c r="D1554" t="s">
        <v>2532</v>
      </c>
      <c r="E1554" t="s">
        <v>30</v>
      </c>
      <c r="F1554" t="s">
        <v>28</v>
      </c>
      <c r="G1554" t="s">
        <v>29</v>
      </c>
      <c r="H1554" t="s">
        <v>27</v>
      </c>
      <c r="I1554">
        <v>65</v>
      </c>
      <c r="J1554">
        <v>16</v>
      </c>
      <c r="L1554">
        <v>36</v>
      </c>
      <c r="M1554">
        <v>2.12</v>
      </c>
      <c r="N1554">
        <v>39.06</v>
      </c>
      <c r="O1554">
        <v>20</v>
      </c>
      <c r="P1554">
        <v>23</v>
      </c>
      <c r="T1554">
        <v>2.3</v>
      </c>
      <c r="U1554">
        <v>7.5</v>
      </c>
      <c r="V1554">
        <v>15.3</v>
      </c>
      <c r="W1554">
        <v>891</v>
      </c>
      <c r="X1554">
        <v>30</v>
      </c>
      <c r="Y1554" t="s">
        <v>718</v>
      </c>
    </row>
    <row r="1555" spans="1:25">
      <c r="A1555" t="s">
        <v>2535</v>
      </c>
      <c r="B1555" s="2" t="str">
        <f>Hyperlink("https://www.diodes.com/datasheet/download/DMT6017LSS.pdf")</f>
        <v>https://www.diodes.com/datasheet/download/DMT6017LSS.pdf</v>
      </c>
      <c r="C1555" t="str">
        <f>Hyperlink("https://www.diodes.com/part/view/DMT6017LSS","DMT6017LSS")</f>
        <v>DMT6017LSS</v>
      </c>
      <c r="D1555" t="s">
        <v>1384</v>
      </c>
      <c r="E1555" t="s">
        <v>30</v>
      </c>
      <c r="F1555" t="s">
        <v>28</v>
      </c>
      <c r="G1555" t="s">
        <v>29</v>
      </c>
      <c r="H1555" t="s">
        <v>30</v>
      </c>
      <c r="I1555">
        <v>60</v>
      </c>
      <c r="J1555">
        <v>20</v>
      </c>
      <c r="K1555">
        <v>9.2</v>
      </c>
      <c r="M1555">
        <v>2.1</v>
      </c>
      <c r="O1555">
        <v>18</v>
      </c>
      <c r="P1555">
        <v>23</v>
      </c>
      <c r="T1555">
        <v>2.5</v>
      </c>
      <c r="U1555">
        <v>8.4</v>
      </c>
      <c r="V1555">
        <v>17</v>
      </c>
      <c r="W1555">
        <v>864</v>
      </c>
      <c r="X1555">
        <v>30</v>
      </c>
      <c r="Y1555" t="s">
        <v>213</v>
      </c>
    </row>
    <row r="1556" spans="1:25">
      <c r="A1556" t="s">
        <v>2536</v>
      </c>
      <c r="B1556" s="2" t="str">
        <f>Hyperlink("https://www.diodes.com/datasheet/download/DMT6018LDR.pdf")</f>
        <v>https://www.diodes.com/datasheet/download/DMT6018LDR.pdf</v>
      </c>
      <c r="C1556" t="str">
        <f>Hyperlink("https://www.diodes.com/part/view/DMT6018LDR","DMT6018LDR")</f>
        <v>DMT6018LDR</v>
      </c>
      <c r="D1556" t="s">
        <v>39</v>
      </c>
      <c r="E1556" t="s">
        <v>30</v>
      </c>
      <c r="F1556" t="s">
        <v>28</v>
      </c>
      <c r="G1556" t="s">
        <v>40</v>
      </c>
      <c r="H1556" t="s">
        <v>30</v>
      </c>
      <c r="I1556">
        <v>60</v>
      </c>
      <c r="J1556">
        <v>20</v>
      </c>
      <c r="K1556">
        <v>8.8</v>
      </c>
      <c r="L1556">
        <v>11.4</v>
      </c>
      <c r="M1556">
        <v>1.9</v>
      </c>
      <c r="N1556">
        <v>10.9</v>
      </c>
      <c r="O1556">
        <v>17</v>
      </c>
      <c r="P1556">
        <v>26</v>
      </c>
      <c r="T1556">
        <v>3</v>
      </c>
      <c r="U1556">
        <v>6.2</v>
      </c>
      <c r="V1556">
        <v>13.9</v>
      </c>
      <c r="W1556">
        <v>869</v>
      </c>
      <c r="X1556">
        <v>30</v>
      </c>
      <c r="Y1556" t="s">
        <v>2537</v>
      </c>
    </row>
    <row r="1557" spans="1:25">
      <c r="A1557" t="s">
        <v>2538</v>
      </c>
      <c r="B1557" s="2" t="str">
        <f>Hyperlink("https://www.diodes.com/datasheet/download/DMT6030LFCL.pdf")</f>
        <v>https://www.diodes.com/datasheet/download/DMT6030LFCL.pdf</v>
      </c>
      <c r="C1557" t="str">
        <f>Hyperlink("https://www.diodes.com/part/view/DMT6030LFCL","DMT6030LFCL")</f>
        <v>DMT6030LFCL</v>
      </c>
      <c r="D1557" t="s">
        <v>1384</v>
      </c>
      <c r="E1557" t="s">
        <v>30</v>
      </c>
      <c r="F1557" t="s">
        <v>28</v>
      </c>
      <c r="G1557" t="s">
        <v>29</v>
      </c>
      <c r="H1557" t="s">
        <v>30</v>
      </c>
      <c r="I1557">
        <v>60</v>
      </c>
      <c r="J1557">
        <v>20</v>
      </c>
      <c r="K1557">
        <v>6.5</v>
      </c>
      <c r="M1557">
        <v>1.58</v>
      </c>
      <c r="O1557">
        <v>25</v>
      </c>
      <c r="P1557">
        <v>34</v>
      </c>
      <c r="T1557">
        <v>2.5</v>
      </c>
      <c r="U1557">
        <v>4.5</v>
      </c>
      <c r="V1557">
        <v>9.1</v>
      </c>
      <c r="W1557">
        <v>639</v>
      </c>
      <c r="X1557">
        <v>30</v>
      </c>
      <c r="Y1557" t="s">
        <v>1017</v>
      </c>
    </row>
    <row r="1558" spans="1:25">
      <c r="A1558" t="s">
        <v>2539</v>
      </c>
      <c r="B1558" s="2" t="str">
        <f>Hyperlink("https://www.diodes.com/datasheet/download/DMT6030LFDF.pdf")</f>
        <v>https://www.diodes.com/datasheet/download/DMT6030LFDF.pdf</v>
      </c>
      <c r="C1558" t="str">
        <f>Hyperlink("https://www.diodes.com/part/view/DMT6030LFDF","DMT6030LFDF")</f>
        <v>DMT6030LFDF</v>
      </c>
      <c r="D1558" t="s">
        <v>1384</v>
      </c>
      <c r="E1558" t="s">
        <v>30</v>
      </c>
      <c r="F1558" t="s">
        <v>28</v>
      </c>
      <c r="G1558" t="s">
        <v>29</v>
      </c>
      <c r="H1558" t="s">
        <v>30</v>
      </c>
      <c r="I1558">
        <v>60</v>
      </c>
      <c r="J1558">
        <v>20</v>
      </c>
      <c r="K1558">
        <v>6.8</v>
      </c>
      <c r="M1558">
        <v>1.76</v>
      </c>
      <c r="N1558">
        <v>9.62</v>
      </c>
      <c r="O1558">
        <v>25.5</v>
      </c>
      <c r="P1558">
        <v>35</v>
      </c>
      <c r="T1558">
        <v>2.5</v>
      </c>
      <c r="U1558">
        <v>4.5</v>
      </c>
      <c r="V1558">
        <v>9.1</v>
      </c>
      <c r="W1558">
        <v>639</v>
      </c>
      <c r="X1558">
        <v>30</v>
      </c>
      <c r="Y1558" t="s">
        <v>780</v>
      </c>
    </row>
    <row r="1559" spans="1:25">
      <c r="A1559" t="s">
        <v>2540</v>
      </c>
      <c r="B1559" s="2" t="str">
        <f>Hyperlink("https://www.diodes.com/datasheet/download/DMT615MLFV.pdf")</f>
        <v>https://www.diodes.com/datasheet/download/DMT615MLFV.pdf</v>
      </c>
      <c r="C1559" t="str">
        <f>Hyperlink("https://www.diodes.com/part/view/DMT615MLFV","DMT615MLFV")</f>
        <v>DMT615MLFV</v>
      </c>
      <c r="D1559" t="s">
        <v>1384</v>
      </c>
      <c r="E1559" t="s">
        <v>30</v>
      </c>
      <c r="F1559" t="s">
        <v>28</v>
      </c>
      <c r="G1559" t="s">
        <v>29</v>
      </c>
      <c r="H1559" t="s">
        <v>27</v>
      </c>
      <c r="I1559">
        <v>60</v>
      </c>
      <c r="J1559">
        <v>20</v>
      </c>
      <c r="K1559">
        <v>8.5</v>
      </c>
      <c r="L1559">
        <v>38</v>
      </c>
      <c r="M1559">
        <v>1.76</v>
      </c>
      <c r="N1559">
        <v>34.72</v>
      </c>
      <c r="O1559">
        <v>16</v>
      </c>
      <c r="P1559">
        <v>26</v>
      </c>
      <c r="T1559">
        <v>3</v>
      </c>
      <c r="U1559">
        <v>7.8</v>
      </c>
      <c r="V1559">
        <v>15.5</v>
      </c>
      <c r="W1559">
        <v>1039</v>
      </c>
      <c r="X1559">
        <v>30</v>
      </c>
      <c r="Y1559" t="s">
        <v>718</v>
      </c>
    </row>
    <row r="1560" spans="1:25">
      <c r="A1560" t="s">
        <v>2541</v>
      </c>
      <c r="B1560" s="2" t="str">
        <f>Hyperlink("https://www.diodes.com/datasheet/download/DMT616MLSS.pdf")</f>
        <v>https://www.diodes.com/datasheet/download/DMT616MLSS.pdf</v>
      </c>
      <c r="C1560" t="str">
        <f>Hyperlink("https://www.diodes.com/part/view/DMT616MLSS","DMT616MLSS")</f>
        <v>DMT616MLSS</v>
      </c>
      <c r="D1560" t="s">
        <v>1384</v>
      </c>
      <c r="E1560" t="s">
        <v>30</v>
      </c>
      <c r="F1560" t="s">
        <v>28</v>
      </c>
      <c r="G1560" t="s">
        <v>29</v>
      </c>
      <c r="H1560" t="s">
        <v>30</v>
      </c>
      <c r="I1560">
        <v>60</v>
      </c>
      <c r="J1560">
        <v>20</v>
      </c>
      <c r="K1560">
        <v>10</v>
      </c>
      <c r="M1560">
        <v>2.06</v>
      </c>
      <c r="O1560">
        <v>14</v>
      </c>
      <c r="P1560">
        <v>21</v>
      </c>
      <c r="T1560">
        <v>2.2</v>
      </c>
      <c r="U1560">
        <v>7.3</v>
      </c>
      <c r="V1560">
        <v>13.6</v>
      </c>
      <c r="W1560">
        <v>785</v>
      </c>
      <c r="X1560">
        <v>30</v>
      </c>
      <c r="Y1560" t="s">
        <v>213</v>
      </c>
    </row>
    <row r="1561" spans="1:25">
      <c r="A1561" t="s">
        <v>2542</v>
      </c>
      <c r="B1561" s="2" t="str">
        <f>Hyperlink("https://www.diodes.com/datasheet/download/DMT61M5SPSW.pdf")</f>
        <v>https://www.diodes.com/datasheet/download/DMT61M5SPSW.pdf</v>
      </c>
      <c r="C1561" t="str">
        <f>Hyperlink("https://www.diodes.com/part/view/DMT61M5SPSW","DMT61M5SPSW")</f>
        <v>DMT61M5SPSW</v>
      </c>
      <c r="D1561" t="s">
        <v>1384</v>
      </c>
      <c r="E1561" t="s">
        <v>30</v>
      </c>
      <c r="F1561" t="s">
        <v>28</v>
      </c>
      <c r="G1561" t="s">
        <v>29</v>
      </c>
      <c r="H1561" t="s">
        <v>30</v>
      </c>
      <c r="I1561">
        <v>60</v>
      </c>
      <c r="J1561">
        <v>20</v>
      </c>
      <c r="L1561">
        <v>215</v>
      </c>
      <c r="M1561">
        <v>2.7</v>
      </c>
      <c r="N1561">
        <v>139</v>
      </c>
      <c r="O1561">
        <v>1.5</v>
      </c>
      <c r="T1561">
        <v>4</v>
      </c>
      <c r="V1561">
        <v>130.6</v>
      </c>
      <c r="W1561">
        <v>8306</v>
      </c>
      <c r="X1561">
        <v>30</v>
      </c>
      <c r="Y1561" t="s">
        <v>907</v>
      </c>
    </row>
    <row r="1562" spans="1:25">
      <c r="A1562" t="s">
        <v>2543</v>
      </c>
      <c r="B1562" s="2" t="str">
        <f>Hyperlink("https://www.diodes.com/datasheet/download/DMT61M8SPS.pdf")</f>
        <v>https://www.diodes.com/datasheet/download/DMT61M8SPS.pdf</v>
      </c>
      <c r="C1562" t="str">
        <f>Hyperlink("https://www.diodes.com/part/view/DMT61M8SPS","DMT61M8SPS")</f>
        <v>DMT61M8SPS</v>
      </c>
      <c r="D1562" t="s">
        <v>1384</v>
      </c>
      <c r="E1562" t="s">
        <v>30</v>
      </c>
      <c r="F1562" t="s">
        <v>28</v>
      </c>
      <c r="G1562" t="s">
        <v>29</v>
      </c>
      <c r="H1562" t="s">
        <v>30</v>
      </c>
      <c r="I1562">
        <v>60</v>
      </c>
      <c r="J1562">
        <v>20</v>
      </c>
      <c r="L1562">
        <v>205</v>
      </c>
      <c r="M1562">
        <v>2.7</v>
      </c>
      <c r="N1562">
        <v>139</v>
      </c>
      <c r="O1562">
        <v>1.6</v>
      </c>
      <c r="T1562">
        <v>4</v>
      </c>
      <c r="V1562">
        <v>130.6</v>
      </c>
      <c r="W1562">
        <v>8306</v>
      </c>
      <c r="X1562">
        <v>30</v>
      </c>
      <c r="Y1562" t="s">
        <v>907</v>
      </c>
    </row>
    <row r="1563" spans="1:25">
      <c r="A1563" t="s">
        <v>2544</v>
      </c>
      <c r="B1563" s="2" t="str">
        <f>Hyperlink("https://www.diodes.com/datasheet/download/DMT62M7SPSW.pdf")</f>
        <v>https://www.diodes.com/datasheet/download/DMT62M7SPSW.pdf</v>
      </c>
      <c r="C1563" t="str">
        <f>Hyperlink("https://www.diodes.com/part/view/DMT62M7SPSW","DMT62M7SPSW")</f>
        <v>DMT62M7SPSW</v>
      </c>
      <c r="D1563" t="s">
        <v>1399</v>
      </c>
      <c r="E1563" t="s">
        <v>30</v>
      </c>
      <c r="F1563" t="s">
        <v>28</v>
      </c>
      <c r="G1563" t="s">
        <v>29</v>
      </c>
      <c r="H1563" t="s">
        <v>30</v>
      </c>
      <c r="I1563">
        <v>60</v>
      </c>
      <c r="J1563">
        <v>20</v>
      </c>
      <c r="L1563">
        <v>163</v>
      </c>
      <c r="M1563">
        <v>2.5</v>
      </c>
      <c r="N1563">
        <v>125</v>
      </c>
      <c r="O1563">
        <v>2.7</v>
      </c>
      <c r="S1563">
        <v>2</v>
      </c>
      <c r="T1563">
        <v>4</v>
      </c>
      <c r="V1563">
        <v>68.7</v>
      </c>
      <c r="W1563">
        <v>4973</v>
      </c>
      <c r="X1563">
        <v>30</v>
      </c>
      <c r="Y1563" t="s">
        <v>1546</v>
      </c>
    </row>
    <row r="1564" spans="1:25">
      <c r="A1564" t="s">
        <v>2545</v>
      </c>
      <c r="B1564" s="2" t="str">
        <f>Hyperlink("https://www.diodes.com/datasheet/download/DMT63M5LFG.pdf")</f>
        <v>https://www.diodes.com/datasheet/download/DMT63M5LFG.pdf</v>
      </c>
      <c r="C1564" t="str">
        <f>Hyperlink("https://www.diodes.com/part/view/DMT63M5LFG","DMT63M5LFG")</f>
        <v>DMT63M5LFG</v>
      </c>
      <c r="D1564" t="s">
        <v>1399</v>
      </c>
      <c r="E1564" t="s">
        <v>27</v>
      </c>
      <c r="F1564" t="s">
        <v>28</v>
      </c>
      <c r="G1564" t="s">
        <v>29</v>
      </c>
      <c r="H1564" t="s">
        <v>30</v>
      </c>
      <c r="I1564">
        <v>60</v>
      </c>
      <c r="J1564">
        <v>20</v>
      </c>
      <c r="L1564">
        <v>90</v>
      </c>
      <c r="M1564">
        <v>2.83</v>
      </c>
      <c r="N1564">
        <v>52.7</v>
      </c>
      <c r="O1564">
        <v>4</v>
      </c>
      <c r="S1564">
        <v>1.3</v>
      </c>
      <c r="T1564">
        <v>2.5</v>
      </c>
      <c r="V1564">
        <v>41.2</v>
      </c>
      <c r="W1564">
        <v>2378</v>
      </c>
      <c r="X1564">
        <v>30</v>
      </c>
      <c r="Y1564" t="s">
        <v>718</v>
      </c>
    </row>
    <row r="1565" spans="1:25">
      <c r="A1565" t="s">
        <v>2546</v>
      </c>
      <c r="B1565" s="2" t="str">
        <f>Hyperlink("https://www.diodes.com/datasheet/download/DMT64M1LCG.pdf")</f>
        <v>https://www.diodes.com/datasheet/download/DMT64M1LCG.pdf</v>
      </c>
      <c r="C1565" t="str">
        <f>Hyperlink("https://www.diodes.com/part/view/DMT64M1LCG","DMT64M1LCG")</f>
        <v>DMT64M1LCG</v>
      </c>
      <c r="D1565" t="s">
        <v>2532</v>
      </c>
      <c r="E1565" t="s">
        <v>30</v>
      </c>
      <c r="F1565" t="s">
        <v>28</v>
      </c>
      <c r="G1565" t="s">
        <v>29</v>
      </c>
      <c r="H1565" t="s">
        <v>30</v>
      </c>
      <c r="I1565">
        <v>65</v>
      </c>
      <c r="J1565">
        <v>20</v>
      </c>
      <c r="K1565">
        <v>16.7</v>
      </c>
      <c r="L1565">
        <v>67.8</v>
      </c>
      <c r="M1565">
        <v>2.6</v>
      </c>
      <c r="O1565">
        <v>5.4</v>
      </c>
      <c r="P1565">
        <v>7.3</v>
      </c>
      <c r="T1565">
        <v>2.5</v>
      </c>
      <c r="U1565">
        <v>28.9</v>
      </c>
      <c r="V1565">
        <v>51.4</v>
      </c>
      <c r="W1565">
        <v>2626</v>
      </c>
      <c r="X1565">
        <v>30</v>
      </c>
      <c r="Y1565" t="s">
        <v>1881</v>
      </c>
    </row>
    <row r="1566" spans="1:25">
      <c r="A1566" t="s">
        <v>2547</v>
      </c>
      <c r="B1566" s="2" t="str">
        <f>Hyperlink("https://www.diodes.com/datasheet/download/DMT64M1LPSW.pdf")</f>
        <v>https://www.diodes.com/datasheet/download/DMT64M1LPSW.pdf</v>
      </c>
      <c r="C1566" t="str">
        <f>Hyperlink("https://www.diodes.com/part/view/DMT64M1LPSW","DMT64M1LPSW")</f>
        <v>DMT64M1LPSW</v>
      </c>
      <c r="D1566" t="s">
        <v>2532</v>
      </c>
      <c r="E1566" t="s">
        <v>30</v>
      </c>
      <c r="F1566" t="s">
        <v>28</v>
      </c>
      <c r="G1566" t="s">
        <v>29</v>
      </c>
      <c r="H1566" t="s">
        <v>30</v>
      </c>
      <c r="I1566">
        <v>65</v>
      </c>
      <c r="J1566">
        <v>20</v>
      </c>
      <c r="K1566">
        <v>21.8</v>
      </c>
      <c r="L1566">
        <v>81.7</v>
      </c>
      <c r="M1566">
        <v>3.14</v>
      </c>
      <c r="N1566">
        <v>44</v>
      </c>
      <c r="O1566">
        <v>4.4</v>
      </c>
      <c r="P1566">
        <v>6.3</v>
      </c>
      <c r="T1566">
        <v>2.5</v>
      </c>
      <c r="U1566">
        <v>28.9</v>
      </c>
      <c r="V1566">
        <v>51.4</v>
      </c>
      <c r="W1566">
        <v>2626</v>
      </c>
      <c r="X1566">
        <v>30</v>
      </c>
      <c r="Y1566" t="s">
        <v>907</v>
      </c>
    </row>
    <row r="1567" spans="1:25">
      <c r="A1567" t="s">
        <v>2548</v>
      </c>
      <c r="B1567" s="2" t="str">
        <f>Hyperlink("https://www.diodes.com/datasheet/download/DMT64M2LPSW.pdf")</f>
        <v>https://www.diodes.com/datasheet/download/DMT64M2LPSW.pdf</v>
      </c>
      <c r="C1567" t="str">
        <f>Hyperlink("https://www.diodes.com/part/view/DMT64M2LPSW","DMT64M2LPSW")</f>
        <v>DMT64M2LPSW</v>
      </c>
      <c r="D1567" t="s">
        <v>1384</v>
      </c>
      <c r="E1567" t="s">
        <v>30</v>
      </c>
      <c r="F1567" t="s">
        <v>28</v>
      </c>
      <c r="G1567" t="s">
        <v>29</v>
      </c>
      <c r="H1567" t="s">
        <v>30</v>
      </c>
      <c r="I1567">
        <v>60</v>
      </c>
      <c r="J1567">
        <v>20</v>
      </c>
      <c r="K1567">
        <v>20.7</v>
      </c>
      <c r="L1567">
        <v>100</v>
      </c>
      <c r="M1567">
        <v>2.8</v>
      </c>
      <c r="N1567">
        <v>83.3</v>
      </c>
      <c r="O1567">
        <v>4.4</v>
      </c>
      <c r="P1567">
        <v>6.4</v>
      </c>
      <c r="T1567">
        <v>2.5</v>
      </c>
      <c r="U1567">
        <v>24.1</v>
      </c>
      <c r="V1567">
        <v>46.7</v>
      </c>
      <c r="W1567">
        <v>2799</v>
      </c>
      <c r="X1567">
        <v>30</v>
      </c>
      <c r="Y1567" t="s">
        <v>907</v>
      </c>
    </row>
    <row r="1568" spans="1:25">
      <c r="A1568" t="s">
        <v>2549</v>
      </c>
      <c r="B1568" s="2" t="str">
        <f>Hyperlink("https://www.diodes.com/datasheet/download/DMT64M8LCG.pdf")</f>
        <v>https://www.diodes.com/datasheet/download/DMT64M8LCG.pdf</v>
      </c>
      <c r="C1568" t="str">
        <f>Hyperlink("https://www.diodes.com/part/view/DMT64M8LCG","DMT64M8LCG")</f>
        <v>DMT64M8LCG</v>
      </c>
      <c r="D1568" t="s">
        <v>1384</v>
      </c>
      <c r="E1568" t="s">
        <v>30</v>
      </c>
      <c r="F1568" t="s">
        <v>28</v>
      </c>
      <c r="G1568" t="s">
        <v>29</v>
      </c>
      <c r="H1568" t="s">
        <v>27</v>
      </c>
      <c r="I1568">
        <v>60</v>
      </c>
      <c r="J1568">
        <v>20</v>
      </c>
      <c r="K1568">
        <v>16.1</v>
      </c>
      <c r="L1568">
        <v>77.8</v>
      </c>
      <c r="M1568">
        <v>2.16</v>
      </c>
      <c r="O1568">
        <v>4.8</v>
      </c>
      <c r="P1568">
        <v>6.5</v>
      </c>
      <c r="T1568">
        <v>2.4</v>
      </c>
      <c r="U1568">
        <v>26.1</v>
      </c>
      <c r="V1568">
        <v>47.5</v>
      </c>
      <c r="W1568">
        <v>2664</v>
      </c>
      <c r="X1568">
        <v>30</v>
      </c>
      <c r="Y1568" t="s">
        <v>1881</v>
      </c>
    </row>
    <row r="1569" spans="1:25">
      <c r="A1569" t="s">
        <v>2550</v>
      </c>
      <c r="B1569" s="2" t="str">
        <f>Hyperlink("https://www.diodes.com/datasheet/download/DMT64M8LSS.pdf")</f>
        <v>https://www.diodes.com/datasheet/download/DMT64M8LSS.pdf</v>
      </c>
      <c r="C1569" t="str">
        <f>Hyperlink("https://www.diodes.com/part/view/DMT64M8LSS","DMT64M8LSS")</f>
        <v>DMT64M8LSS</v>
      </c>
      <c r="D1569" t="s">
        <v>1384</v>
      </c>
      <c r="E1569" t="s">
        <v>30</v>
      </c>
      <c r="F1569" t="s">
        <v>28</v>
      </c>
      <c r="G1569" t="s">
        <v>29</v>
      </c>
      <c r="H1569" t="s">
        <v>27</v>
      </c>
      <c r="I1569">
        <v>60</v>
      </c>
      <c r="J1569">
        <v>20</v>
      </c>
      <c r="K1569">
        <v>17</v>
      </c>
      <c r="M1569">
        <v>2.2</v>
      </c>
      <c r="O1569">
        <v>5</v>
      </c>
      <c r="P1569">
        <v>6.9</v>
      </c>
      <c r="T1569">
        <v>2.3</v>
      </c>
      <c r="U1569">
        <v>26.1</v>
      </c>
      <c r="V1569">
        <v>47.5</v>
      </c>
      <c r="W1569">
        <v>2664</v>
      </c>
      <c r="X1569">
        <v>30</v>
      </c>
      <c r="Y1569" t="s">
        <v>213</v>
      </c>
    </row>
    <row r="1570" spans="1:25">
      <c r="A1570" t="s">
        <v>2551</v>
      </c>
      <c r="B1570" s="2" t="str">
        <f>Hyperlink("https://www.diodes.com/datasheet/download/DMT67M8LCG.pdf")</f>
        <v>https://www.diodes.com/datasheet/download/DMT67M8LCG.pdf</v>
      </c>
      <c r="C1570" t="str">
        <f>Hyperlink("https://www.diodes.com/part/view/DMT67M8LCG","DMT67M8LCG")</f>
        <v>DMT67M8LCG</v>
      </c>
      <c r="D1570" t="s">
        <v>1384</v>
      </c>
      <c r="E1570" t="s">
        <v>27</v>
      </c>
      <c r="F1570" t="s">
        <v>28</v>
      </c>
      <c r="G1570" t="s">
        <v>29</v>
      </c>
      <c r="H1570" t="s">
        <v>27</v>
      </c>
      <c r="I1570">
        <v>60</v>
      </c>
      <c r="J1570">
        <v>20</v>
      </c>
      <c r="K1570">
        <v>16</v>
      </c>
      <c r="L1570">
        <v>64.6</v>
      </c>
      <c r="M1570">
        <v>2.2</v>
      </c>
      <c r="O1570">
        <v>5.7</v>
      </c>
      <c r="P1570">
        <v>8.1</v>
      </c>
      <c r="T1570">
        <v>2.5</v>
      </c>
      <c r="U1570">
        <v>20</v>
      </c>
      <c r="V1570">
        <v>37.5</v>
      </c>
      <c r="W1570">
        <v>2130</v>
      </c>
      <c r="X1570">
        <v>30</v>
      </c>
      <c r="Y1570" t="s">
        <v>1881</v>
      </c>
    </row>
    <row r="1571" spans="1:25">
      <c r="A1571" t="s">
        <v>2552</v>
      </c>
      <c r="B1571" s="2" t="str">
        <f>Hyperlink("https://www.diodes.com/datasheet/download/DMT67M8LCGQ.pdf")</f>
        <v>https://www.diodes.com/datasheet/download/DMT67M8LCGQ.pdf</v>
      </c>
      <c r="C1571" t="str">
        <f>Hyperlink("https://www.diodes.com/part/view/DMT67M8LCGQ","DMT67M8LCGQ")</f>
        <v>DMT67M8LCGQ</v>
      </c>
      <c r="D1571" t="s">
        <v>1384</v>
      </c>
      <c r="E1571" t="s">
        <v>27</v>
      </c>
      <c r="F1571" t="s">
        <v>37</v>
      </c>
      <c r="G1571" t="s">
        <v>29</v>
      </c>
      <c r="H1571" t="s">
        <v>27</v>
      </c>
      <c r="I1571">
        <v>60</v>
      </c>
      <c r="J1571">
        <v>20</v>
      </c>
      <c r="K1571">
        <v>16</v>
      </c>
      <c r="L1571">
        <v>64.6</v>
      </c>
      <c r="M1571">
        <v>2.2</v>
      </c>
      <c r="O1571">
        <v>5.7</v>
      </c>
      <c r="P1571">
        <v>8.1</v>
      </c>
      <c r="T1571">
        <v>2.5</v>
      </c>
      <c r="U1571">
        <v>20</v>
      </c>
      <c r="V1571">
        <v>37.5</v>
      </c>
      <c r="W1571">
        <v>2130</v>
      </c>
      <c r="X1571">
        <v>30</v>
      </c>
      <c r="Y1571" t="s">
        <v>1881</v>
      </c>
    </row>
    <row r="1572" spans="1:25">
      <c r="A1572" t="s">
        <v>2553</v>
      </c>
      <c r="B1572" s="2" t="str">
        <f>Hyperlink("https://www.diodes.com/datasheet/download/DMT67M8LK3.pdf")</f>
        <v>https://www.diodes.com/datasheet/download/DMT67M8LK3.pdf</v>
      </c>
      <c r="C1572" t="str">
        <f>Hyperlink("https://www.diodes.com/part/view/DMT67M8LK3","DMT67M8LK3")</f>
        <v>DMT67M8LK3</v>
      </c>
      <c r="D1572" t="s">
        <v>1384</v>
      </c>
      <c r="E1572" t="s">
        <v>30</v>
      </c>
      <c r="F1572" t="s">
        <v>28</v>
      </c>
      <c r="G1572" t="s">
        <v>29</v>
      </c>
      <c r="H1572" t="s">
        <v>27</v>
      </c>
      <c r="I1572">
        <v>60</v>
      </c>
      <c r="J1572">
        <v>20</v>
      </c>
      <c r="L1572">
        <v>87</v>
      </c>
      <c r="M1572">
        <v>3.1</v>
      </c>
      <c r="N1572">
        <v>87</v>
      </c>
      <c r="O1572">
        <v>7</v>
      </c>
      <c r="P1572">
        <v>10</v>
      </c>
      <c r="T1572">
        <v>2.5</v>
      </c>
      <c r="U1572">
        <v>20</v>
      </c>
      <c r="V1572">
        <v>37.5</v>
      </c>
      <c r="W1572">
        <v>2130</v>
      </c>
      <c r="X1572">
        <v>30</v>
      </c>
      <c r="Y1572" t="s">
        <v>681</v>
      </c>
    </row>
    <row r="1573" spans="1:25">
      <c r="A1573" t="s">
        <v>2554</v>
      </c>
      <c r="B1573" s="2" t="str">
        <f>Hyperlink("https://www.diodes.com/datasheet/download/DMT67M8LPSW.pdf")</f>
        <v>https://www.diodes.com/datasheet/download/DMT67M8LPSW.pdf</v>
      </c>
      <c r="C1573" t="str">
        <f>Hyperlink("https://www.diodes.com/part/view/DMT67M8LPSW","DMT67M8LPSW")</f>
        <v>DMT67M8LPSW</v>
      </c>
      <c r="D1573" t="s">
        <v>1384</v>
      </c>
      <c r="E1573" t="s">
        <v>30</v>
      </c>
      <c r="F1573" t="s">
        <v>28</v>
      </c>
      <c r="G1573" t="s">
        <v>29</v>
      </c>
      <c r="H1573" t="s">
        <v>27</v>
      </c>
      <c r="I1573">
        <v>60</v>
      </c>
      <c r="J1573">
        <v>20</v>
      </c>
      <c r="K1573">
        <v>17.3</v>
      </c>
      <c r="L1573">
        <v>82</v>
      </c>
      <c r="M1573">
        <v>2.8</v>
      </c>
      <c r="N1573">
        <v>62.5</v>
      </c>
      <c r="O1573">
        <v>6.2</v>
      </c>
      <c r="P1573">
        <v>8.5</v>
      </c>
      <c r="T1573">
        <v>2.5</v>
      </c>
      <c r="U1573">
        <v>20</v>
      </c>
      <c r="V1573">
        <v>37.5</v>
      </c>
      <c r="W1573">
        <v>2130</v>
      </c>
      <c r="X1573">
        <v>30</v>
      </c>
      <c r="Y1573" t="s">
        <v>907</v>
      </c>
    </row>
    <row r="1574" spans="1:25">
      <c r="A1574" t="s">
        <v>2555</v>
      </c>
      <c r="B1574" s="2" t="str">
        <f>Hyperlink("https://www.diodes.com/datasheet/download/DMT67M8LSS.pdf")</f>
        <v>https://www.diodes.com/datasheet/download/DMT67M8LSS.pdf</v>
      </c>
      <c r="C1574" t="str">
        <f>Hyperlink("https://www.diodes.com/part/view/DMT67M8LSS","DMT67M8LSS")</f>
        <v>DMT67M8LSS</v>
      </c>
      <c r="D1574" t="s">
        <v>1384</v>
      </c>
      <c r="E1574" t="s">
        <v>30</v>
      </c>
      <c r="F1574" t="s">
        <v>28</v>
      </c>
      <c r="G1574" t="s">
        <v>29</v>
      </c>
      <c r="H1574" t="s">
        <v>27</v>
      </c>
      <c r="I1574">
        <v>60</v>
      </c>
      <c r="J1574">
        <v>20</v>
      </c>
      <c r="K1574">
        <v>14.8</v>
      </c>
      <c r="M1574">
        <v>2.2</v>
      </c>
      <c r="O1574">
        <v>6.6</v>
      </c>
      <c r="P1574">
        <v>8.4</v>
      </c>
      <c r="T1574">
        <v>3</v>
      </c>
      <c r="U1574">
        <v>20</v>
      </c>
      <c r="W1574">
        <v>2130</v>
      </c>
      <c r="X1574">
        <v>30</v>
      </c>
      <c r="Y1574" t="s">
        <v>213</v>
      </c>
    </row>
    <row r="1575" spans="1:25">
      <c r="A1575" t="s">
        <v>2556</v>
      </c>
      <c r="B1575" s="2" t="str">
        <f>Hyperlink("https://www.diodes.com/datasheet/download/DMT68M8LFV.pdf")</f>
        <v>https://www.diodes.com/datasheet/download/DMT68M8LFV.pdf</v>
      </c>
      <c r="C1575" t="str">
        <f>Hyperlink("https://www.diodes.com/part/view/DMT68M8LFV","DMT68M8LFV")</f>
        <v>DMT68M8LFV</v>
      </c>
      <c r="D1575" t="s">
        <v>1384</v>
      </c>
      <c r="E1575" t="s">
        <v>30</v>
      </c>
      <c r="F1575" t="s">
        <v>28</v>
      </c>
      <c r="G1575" t="s">
        <v>29</v>
      </c>
      <c r="H1575" t="s">
        <v>27</v>
      </c>
      <c r="I1575">
        <v>60</v>
      </c>
      <c r="J1575">
        <v>20</v>
      </c>
      <c r="L1575">
        <v>54.1</v>
      </c>
      <c r="M1575">
        <v>2.7</v>
      </c>
      <c r="N1575">
        <v>41.7</v>
      </c>
      <c r="O1575">
        <v>9.5</v>
      </c>
      <c r="P1575">
        <v>13.3</v>
      </c>
      <c r="T1575">
        <v>3</v>
      </c>
      <c r="U1575">
        <v>14.4</v>
      </c>
      <c r="V1575">
        <v>30</v>
      </c>
      <c r="W1575">
        <v>2078</v>
      </c>
      <c r="X1575">
        <v>30</v>
      </c>
      <c r="Y1575" t="s">
        <v>718</v>
      </c>
    </row>
    <row r="1576" spans="1:25">
      <c r="A1576" t="s">
        <v>2557</v>
      </c>
      <c r="B1576" s="2" t="str">
        <f>Hyperlink("https://www.diodes.com/datasheet/download/DMT68M8LPS.pdf")</f>
        <v>https://www.diodes.com/datasheet/download/DMT68M8LPS.pdf</v>
      </c>
      <c r="C1576" t="str">
        <f>Hyperlink("https://www.diodes.com/part/view/DMT68M8LPS","DMT68M8LPS")</f>
        <v>DMT68M8LPS</v>
      </c>
      <c r="D1576" t="s">
        <v>1384</v>
      </c>
      <c r="E1576" t="s">
        <v>30</v>
      </c>
      <c r="F1576" t="s">
        <v>28</v>
      </c>
      <c r="G1576" t="s">
        <v>29</v>
      </c>
      <c r="H1576" t="s">
        <v>27</v>
      </c>
      <c r="I1576">
        <v>60</v>
      </c>
      <c r="J1576">
        <v>20</v>
      </c>
      <c r="K1576">
        <v>14.1</v>
      </c>
      <c r="L1576">
        <v>69.2</v>
      </c>
      <c r="M1576">
        <v>2.4</v>
      </c>
      <c r="N1576">
        <v>56.8</v>
      </c>
      <c r="O1576">
        <v>7.9</v>
      </c>
      <c r="P1576">
        <v>10.8</v>
      </c>
      <c r="T1576">
        <v>3</v>
      </c>
      <c r="U1576">
        <v>14.4</v>
      </c>
      <c r="V1576">
        <v>30</v>
      </c>
      <c r="W1576">
        <v>2078</v>
      </c>
      <c r="X1576">
        <v>30</v>
      </c>
      <c r="Y1576" t="s">
        <v>907</v>
      </c>
    </row>
    <row r="1577" spans="1:25">
      <c r="A1577" t="s">
        <v>2558</v>
      </c>
      <c r="B1577" s="2" t="str">
        <f>Hyperlink("https://www.diodes.com/datasheet/download/DMT68M8LSS.pdf")</f>
        <v>https://www.diodes.com/datasheet/download/DMT68M8LSS.pdf</v>
      </c>
      <c r="C1577" t="str">
        <f>Hyperlink("https://www.diodes.com/part/view/DMT68M8LSS","DMT68M8LSS")</f>
        <v>DMT68M8LSS</v>
      </c>
      <c r="D1577" t="s">
        <v>1384</v>
      </c>
      <c r="E1577" t="s">
        <v>30</v>
      </c>
      <c r="F1577" t="s">
        <v>28</v>
      </c>
      <c r="G1577" t="s">
        <v>29</v>
      </c>
      <c r="H1577" t="s">
        <v>27</v>
      </c>
      <c r="I1577">
        <v>60</v>
      </c>
      <c r="J1577">
        <v>20</v>
      </c>
      <c r="K1577">
        <v>12.1</v>
      </c>
      <c r="L1577">
        <v>28.9</v>
      </c>
      <c r="M1577">
        <v>1.9</v>
      </c>
      <c r="N1577">
        <v>10.68</v>
      </c>
      <c r="O1577">
        <v>8.5</v>
      </c>
      <c r="P1577">
        <v>12</v>
      </c>
      <c r="T1577">
        <v>3</v>
      </c>
      <c r="U1577">
        <v>15.6</v>
      </c>
      <c r="V1577">
        <v>31.8</v>
      </c>
      <c r="W1577">
        <v>2017</v>
      </c>
      <c r="X1577">
        <v>30</v>
      </c>
      <c r="Y1577" t="s">
        <v>213</v>
      </c>
    </row>
    <row r="1578" spans="1:25">
      <c r="A1578" t="s">
        <v>2559</v>
      </c>
      <c r="B1578" s="2" t="str">
        <f>Hyperlink("https://www.diodes.com/datasheet/download/DMT69M5LCG.pdf")</f>
        <v>https://www.diodes.com/datasheet/download/DMT69M5LCG.pdf</v>
      </c>
      <c r="C1578" t="str">
        <f>Hyperlink("https://www.diodes.com/part/view/DMT69M5LCG","DMT69M5LCG")</f>
        <v>DMT69M5LCG</v>
      </c>
      <c r="D1578" t="s">
        <v>1384</v>
      </c>
      <c r="E1578" t="s">
        <v>30</v>
      </c>
      <c r="F1578" t="s">
        <v>28</v>
      </c>
      <c r="G1578" t="s">
        <v>29</v>
      </c>
      <c r="H1578" t="s">
        <v>30</v>
      </c>
      <c r="I1578">
        <v>60</v>
      </c>
      <c r="J1578">
        <v>20</v>
      </c>
      <c r="K1578">
        <v>14.6</v>
      </c>
      <c r="L1578">
        <v>52.1</v>
      </c>
      <c r="M1578">
        <v>2.64</v>
      </c>
      <c r="O1578">
        <v>8.3</v>
      </c>
      <c r="P1578" t="s">
        <v>2560</v>
      </c>
      <c r="T1578">
        <v>2.5</v>
      </c>
      <c r="U1578">
        <v>15.4</v>
      </c>
      <c r="V1578">
        <v>28.4</v>
      </c>
      <c r="W1578">
        <v>1406</v>
      </c>
      <c r="X1578">
        <v>30</v>
      </c>
      <c r="Y1578" t="s">
        <v>1881</v>
      </c>
    </row>
    <row r="1579" spans="1:25">
      <c r="A1579" t="s">
        <v>2561</v>
      </c>
      <c r="B1579" s="2" t="str">
        <f>Hyperlink("https://www.diodes.com/datasheet/download/DMT69M5LFVW.pdf")</f>
        <v>https://www.diodes.com/datasheet/download/DMT69M5LFVW.pdf</v>
      </c>
      <c r="C1579" t="str">
        <f>Hyperlink("https://www.diodes.com/part/view/DMT69M5LFVW","DMT69M5LFVW")</f>
        <v>DMT69M5LFVW</v>
      </c>
      <c r="D1579" t="s">
        <v>1384</v>
      </c>
      <c r="E1579" t="s">
        <v>27</v>
      </c>
      <c r="F1579" t="s">
        <v>28</v>
      </c>
      <c r="G1579" t="s">
        <v>29</v>
      </c>
      <c r="H1579" t="s">
        <v>30</v>
      </c>
      <c r="I1579">
        <v>60</v>
      </c>
      <c r="J1579">
        <v>20</v>
      </c>
      <c r="K1579">
        <v>14.8</v>
      </c>
      <c r="L1579">
        <v>40.6</v>
      </c>
      <c r="M1579">
        <v>2.74</v>
      </c>
      <c r="N1579">
        <v>20.5</v>
      </c>
      <c r="O1579">
        <v>8.3</v>
      </c>
      <c r="P1579">
        <v>12.5</v>
      </c>
      <c r="T1579">
        <v>2.5</v>
      </c>
      <c r="U1579">
        <v>15.4</v>
      </c>
      <c r="V1579">
        <v>28.4</v>
      </c>
      <c r="W1579">
        <v>1406</v>
      </c>
      <c r="X1579">
        <v>30</v>
      </c>
      <c r="Y1579" t="s">
        <v>718</v>
      </c>
    </row>
    <row r="1580" spans="1:25">
      <c r="A1580" t="s">
        <v>2562</v>
      </c>
      <c r="B1580" s="2" t="str">
        <f>Hyperlink("https://www.diodes.com/datasheet/download/DMT69M5LFVWQ.pdf")</f>
        <v>https://www.diodes.com/datasheet/download/DMT69M5LFVWQ.pdf</v>
      </c>
      <c r="C1580" t="str">
        <f>Hyperlink("https://www.diodes.com/part/view/DMT69M5LFVWQ","DMT69M5LFVWQ")</f>
        <v>DMT69M5LFVWQ</v>
      </c>
      <c r="D1580" t="s">
        <v>1384</v>
      </c>
      <c r="E1580" t="s">
        <v>27</v>
      </c>
      <c r="F1580" t="s">
        <v>37</v>
      </c>
      <c r="G1580" t="s">
        <v>29</v>
      </c>
      <c r="H1580" t="s">
        <v>30</v>
      </c>
      <c r="I1580">
        <v>60</v>
      </c>
      <c r="J1580">
        <v>20</v>
      </c>
      <c r="K1580">
        <v>14.8</v>
      </c>
      <c r="L1580">
        <v>40.6</v>
      </c>
      <c r="M1580">
        <v>2.74</v>
      </c>
      <c r="N1580">
        <v>20.5</v>
      </c>
      <c r="O1580">
        <v>8.3</v>
      </c>
      <c r="P1580">
        <v>12.5</v>
      </c>
      <c r="T1580">
        <v>2.5</v>
      </c>
      <c r="U1580">
        <v>15.4</v>
      </c>
      <c r="V1580">
        <v>28.4</v>
      </c>
      <c r="W1580">
        <v>1406</v>
      </c>
      <c r="X1580">
        <v>30</v>
      </c>
      <c r="Y1580" t="s">
        <v>1109</v>
      </c>
    </row>
    <row r="1581" spans="1:25">
      <c r="A1581" t="s">
        <v>2563</v>
      </c>
      <c r="B1581" s="2" t="str">
        <f>Hyperlink("https://www.diodes.com/datasheet/download/DMT69M5LH3.pdf")</f>
        <v>https://www.diodes.com/datasheet/download/DMT69M5LH3.pdf</v>
      </c>
      <c r="C1581" t="str">
        <f>Hyperlink("https://www.diodes.com/part/view/DMT69M5LH3","DMT69M5LH3")</f>
        <v>DMT69M5LH3</v>
      </c>
      <c r="D1581" t="s">
        <v>1384</v>
      </c>
      <c r="E1581" t="s">
        <v>30</v>
      </c>
      <c r="F1581" t="s">
        <v>28</v>
      </c>
      <c r="G1581" t="s">
        <v>29</v>
      </c>
      <c r="H1581" t="s">
        <v>30</v>
      </c>
      <c r="I1581">
        <v>60</v>
      </c>
      <c r="J1581">
        <v>20</v>
      </c>
      <c r="L1581">
        <v>75</v>
      </c>
      <c r="M1581">
        <v>3.3</v>
      </c>
      <c r="N1581">
        <v>96</v>
      </c>
      <c r="O1581">
        <v>10.5</v>
      </c>
      <c r="P1581">
        <v>15</v>
      </c>
      <c r="T1581">
        <v>2.5</v>
      </c>
      <c r="U1581">
        <v>15.4</v>
      </c>
      <c r="V1581">
        <v>28.4</v>
      </c>
      <c r="W1581">
        <v>1406</v>
      </c>
      <c r="X1581">
        <v>30</v>
      </c>
      <c r="Y1581" t="s">
        <v>2274</v>
      </c>
    </row>
    <row r="1582" spans="1:25">
      <c r="A1582" t="s">
        <v>2564</v>
      </c>
      <c r="B1582" s="2" t="str">
        <f>Hyperlink("https://www.diodes.com/datasheet/download/DMT69M8LFV.pdf")</f>
        <v>https://www.diodes.com/datasheet/download/DMT69M8LFV.pdf</v>
      </c>
      <c r="C1582" t="str">
        <f>Hyperlink("https://www.diodes.com/part/view/DMT69M8LFV","DMT69M8LFV")</f>
        <v>DMT69M8LFV</v>
      </c>
      <c r="D1582" t="s">
        <v>1384</v>
      </c>
      <c r="E1582" t="s">
        <v>30</v>
      </c>
      <c r="F1582" t="s">
        <v>28</v>
      </c>
      <c r="G1582" t="s">
        <v>29</v>
      </c>
      <c r="H1582" t="s">
        <v>30</v>
      </c>
      <c r="I1582">
        <v>60</v>
      </c>
      <c r="J1582">
        <v>16</v>
      </c>
      <c r="K1582">
        <v>11</v>
      </c>
      <c r="L1582">
        <v>45</v>
      </c>
      <c r="M1582">
        <v>2.2</v>
      </c>
      <c r="N1582">
        <v>42</v>
      </c>
      <c r="O1582">
        <v>9.5</v>
      </c>
      <c r="P1582">
        <v>13.3</v>
      </c>
      <c r="T1582">
        <v>3</v>
      </c>
      <c r="U1582">
        <v>15.6</v>
      </c>
      <c r="V1582">
        <v>33.5</v>
      </c>
      <c r="W1582">
        <v>1925</v>
      </c>
      <c r="X1582">
        <v>30</v>
      </c>
      <c r="Y1582" t="s">
        <v>783</v>
      </c>
    </row>
    <row r="1583" spans="1:25">
      <c r="A1583" t="s">
        <v>2565</v>
      </c>
      <c r="B1583" s="2" t="str">
        <f>Hyperlink("https://www.diodes.com/datasheet/download/DMT69M9LPDW.pdf")</f>
        <v>https://www.diodes.com/datasheet/download/DMT69M9LPDW.pdf</v>
      </c>
      <c r="C1583" t="str">
        <f>Hyperlink("https://www.diodes.com/part/view/DMT69M9LPDW","DMT69M9LPDW")</f>
        <v>DMT69M9LPDW</v>
      </c>
      <c r="D1583" t="s">
        <v>2566</v>
      </c>
      <c r="E1583" t="s">
        <v>30</v>
      </c>
      <c r="F1583" t="s">
        <v>28</v>
      </c>
      <c r="G1583" t="s">
        <v>40</v>
      </c>
      <c r="H1583" t="s">
        <v>30</v>
      </c>
      <c r="I1583">
        <v>60</v>
      </c>
      <c r="J1583">
        <v>16</v>
      </c>
      <c r="K1583">
        <v>11</v>
      </c>
      <c r="M1583">
        <v>2.5</v>
      </c>
      <c r="O1583">
        <v>12.5</v>
      </c>
      <c r="P1583">
        <v>16.8</v>
      </c>
      <c r="T1583">
        <v>2</v>
      </c>
      <c r="U1583">
        <v>15.6</v>
      </c>
      <c r="V1583">
        <v>33.5</v>
      </c>
      <c r="Y1583" t="s">
        <v>907</v>
      </c>
    </row>
    <row r="1584" spans="1:25">
      <c r="A1584" t="s">
        <v>2567</v>
      </c>
      <c r="B1584" s="2" t="str">
        <f>Hyperlink("https://www.diodes.com/datasheet/download/DMT8003SPSW.pdf")</f>
        <v>https://www.diodes.com/datasheet/download/DMT8003SPSW.pdf</v>
      </c>
      <c r="C1584" t="str">
        <f>Hyperlink("https://www.diodes.com/part/view/DMT8003SPSW","DMT8003SPSW")</f>
        <v>DMT8003SPSW</v>
      </c>
      <c r="D1584" t="s">
        <v>2568</v>
      </c>
      <c r="E1584" t="s">
        <v>30</v>
      </c>
      <c r="F1584" t="s">
        <v>28</v>
      </c>
      <c r="G1584" t="s">
        <v>29</v>
      </c>
      <c r="H1584" t="s">
        <v>30</v>
      </c>
      <c r="I1584">
        <v>80</v>
      </c>
      <c r="J1584">
        <v>20</v>
      </c>
      <c r="L1584">
        <v>100</v>
      </c>
      <c r="M1584">
        <v>3.1</v>
      </c>
      <c r="N1584">
        <v>83</v>
      </c>
      <c r="O1584">
        <v>3.9</v>
      </c>
      <c r="S1584">
        <v>2</v>
      </c>
      <c r="T1584">
        <v>4</v>
      </c>
      <c r="V1584">
        <v>136</v>
      </c>
      <c r="W1584">
        <v>9081</v>
      </c>
      <c r="X1584">
        <v>40</v>
      </c>
      <c r="Y1584" t="s">
        <v>1546</v>
      </c>
    </row>
    <row r="1585" spans="1:25">
      <c r="A1585" t="s">
        <v>2569</v>
      </c>
      <c r="B1585" s="2" t="str">
        <f>Hyperlink("https://www.diodes.com/datasheet/download/DMT8003SPSWQ.pdf")</f>
        <v>https://www.diodes.com/datasheet/download/DMT8003SPSWQ.pdf</v>
      </c>
      <c r="C1585" t="str">
        <f>Hyperlink("https://www.diodes.com/part/view/DMT8003SPSWQ","DMT8003SPSWQ")</f>
        <v>DMT8003SPSWQ</v>
      </c>
      <c r="D1585" t="s">
        <v>2568</v>
      </c>
      <c r="E1585" t="s">
        <v>27</v>
      </c>
      <c r="F1585" t="s">
        <v>37</v>
      </c>
      <c r="G1585" t="s">
        <v>29</v>
      </c>
      <c r="H1585" t="s">
        <v>30</v>
      </c>
      <c r="I1585">
        <v>80</v>
      </c>
      <c r="J1585">
        <v>20</v>
      </c>
      <c r="L1585">
        <v>100</v>
      </c>
      <c r="M1585">
        <v>3.1</v>
      </c>
      <c r="N1585">
        <v>83</v>
      </c>
      <c r="O1585">
        <v>3.9</v>
      </c>
      <c r="S1585">
        <v>2</v>
      </c>
      <c r="T1585">
        <v>4</v>
      </c>
      <c r="V1585">
        <v>136</v>
      </c>
      <c r="W1585">
        <v>9081</v>
      </c>
      <c r="X1585">
        <v>40</v>
      </c>
      <c r="Y1585" t="s">
        <v>1546</v>
      </c>
    </row>
    <row r="1586" spans="1:25">
      <c r="A1586" t="s">
        <v>2570</v>
      </c>
      <c r="B1586" s="2" t="str">
        <f>Hyperlink("https://www.diodes.com/datasheet/download/DMT8007LPSW.pdf")</f>
        <v>https://www.diodes.com/datasheet/download/DMT8007LPSW.pdf</v>
      </c>
      <c r="C1586" t="str">
        <f>Hyperlink("https://www.diodes.com/part/view/DMT8007LPSW","DMT8007LPSW")</f>
        <v>DMT8007LPSW</v>
      </c>
      <c r="D1586" t="s">
        <v>2568</v>
      </c>
      <c r="E1586" t="s">
        <v>27</v>
      </c>
      <c r="F1586" t="s">
        <v>28</v>
      </c>
      <c r="G1586" t="s">
        <v>29</v>
      </c>
      <c r="H1586" t="s">
        <v>30</v>
      </c>
      <c r="I1586">
        <v>80</v>
      </c>
      <c r="J1586">
        <v>20</v>
      </c>
      <c r="K1586">
        <v>100</v>
      </c>
      <c r="M1586">
        <v>3.3</v>
      </c>
      <c r="N1586">
        <v>104</v>
      </c>
      <c r="O1586">
        <v>6.5</v>
      </c>
      <c r="P1586">
        <v>9.5</v>
      </c>
      <c r="S1586">
        <v>1.3</v>
      </c>
      <c r="T1586">
        <v>2.8</v>
      </c>
      <c r="U1586">
        <v>22.8</v>
      </c>
      <c r="V1586">
        <v>45.3</v>
      </c>
      <c r="W1586">
        <v>2682</v>
      </c>
      <c r="X1586">
        <v>40</v>
      </c>
      <c r="Y1586" t="s">
        <v>907</v>
      </c>
    </row>
    <row r="1587" spans="1:25">
      <c r="A1587" t="s">
        <v>2571</v>
      </c>
      <c r="B1587" s="2" t="str">
        <f>Hyperlink("https://www.diodes.com/datasheet/download/DMT8008LFG.pdf")</f>
        <v>https://www.diodes.com/datasheet/download/DMT8008LFG.pdf</v>
      </c>
      <c r="C1587" t="str">
        <f>Hyperlink("https://www.diodes.com/part/view/DMT8008LFG","DMT8008LFG")</f>
        <v>DMT8008LFG</v>
      </c>
      <c r="D1587" t="s">
        <v>2572</v>
      </c>
      <c r="E1587" t="s">
        <v>30</v>
      </c>
      <c r="F1587" t="s">
        <v>28</v>
      </c>
      <c r="G1587" t="s">
        <v>29</v>
      </c>
      <c r="H1587" t="s">
        <v>30</v>
      </c>
      <c r="I1587">
        <v>80</v>
      </c>
      <c r="J1587">
        <v>20</v>
      </c>
      <c r="K1587">
        <v>16</v>
      </c>
      <c r="L1587">
        <v>48</v>
      </c>
      <c r="M1587">
        <v>2.5</v>
      </c>
      <c r="N1587">
        <v>23.5</v>
      </c>
      <c r="O1587">
        <v>6.9</v>
      </c>
      <c r="P1587">
        <v>10.4</v>
      </c>
      <c r="T1587">
        <v>2.5</v>
      </c>
      <c r="U1587">
        <v>18.3</v>
      </c>
      <c r="V1587">
        <v>37.7</v>
      </c>
      <c r="W1587">
        <v>2254</v>
      </c>
      <c r="X1587">
        <v>40</v>
      </c>
      <c r="Y1587" t="s">
        <v>718</v>
      </c>
    </row>
    <row r="1588" spans="1:25">
      <c r="A1588" t="s">
        <v>2573</v>
      </c>
      <c r="B1588" s="2" t="str">
        <f>Hyperlink("https://www.diodes.com/datasheet/download/DMT8008LK3.pdf")</f>
        <v>https://www.diodes.com/datasheet/download/DMT8008LK3.pdf</v>
      </c>
      <c r="C1588" t="str">
        <f>Hyperlink("https://www.diodes.com/part/view/DMT8008LK3","DMT8008LK3")</f>
        <v>DMT8008LK3</v>
      </c>
      <c r="D1588" t="s">
        <v>2572</v>
      </c>
      <c r="E1588" t="s">
        <v>30</v>
      </c>
      <c r="F1588" t="s">
        <v>28</v>
      </c>
      <c r="G1588" t="s">
        <v>29</v>
      </c>
      <c r="H1588" t="s">
        <v>30</v>
      </c>
      <c r="I1588">
        <v>80</v>
      </c>
      <c r="J1588">
        <v>20</v>
      </c>
      <c r="L1588">
        <v>95</v>
      </c>
      <c r="M1588">
        <v>3</v>
      </c>
      <c r="O1588">
        <v>7</v>
      </c>
      <c r="P1588">
        <v>11</v>
      </c>
      <c r="T1588">
        <v>2.8</v>
      </c>
      <c r="U1588">
        <v>21.7</v>
      </c>
      <c r="V1588">
        <v>41.5</v>
      </c>
      <c r="W1588">
        <v>2345</v>
      </c>
      <c r="X1588">
        <v>40</v>
      </c>
      <c r="Y1588" t="s">
        <v>2096</v>
      </c>
    </row>
    <row r="1589" spans="1:25">
      <c r="A1589" t="s">
        <v>2574</v>
      </c>
      <c r="B1589" s="2" t="str">
        <f>Hyperlink("https://www.diodes.com/datasheet/download/DMT8008LPS.pdf")</f>
        <v>https://www.diodes.com/datasheet/download/DMT8008LPS.pdf</v>
      </c>
      <c r="C1589" t="str">
        <f>Hyperlink("https://www.diodes.com/part/view/DMT8008LPS","DMT8008LPS")</f>
        <v>DMT8008LPS</v>
      </c>
      <c r="D1589" t="s">
        <v>2572</v>
      </c>
      <c r="E1589" t="s">
        <v>30</v>
      </c>
      <c r="F1589" t="s">
        <v>28</v>
      </c>
      <c r="G1589" t="s">
        <v>29</v>
      </c>
      <c r="H1589" t="s">
        <v>30</v>
      </c>
      <c r="I1589">
        <v>80</v>
      </c>
      <c r="J1589">
        <v>20</v>
      </c>
      <c r="L1589">
        <v>83</v>
      </c>
      <c r="M1589">
        <v>2.8</v>
      </c>
      <c r="N1589">
        <v>83</v>
      </c>
      <c r="O1589">
        <v>7.8</v>
      </c>
      <c r="P1589">
        <v>11</v>
      </c>
      <c r="T1589">
        <v>2.8</v>
      </c>
      <c r="U1589">
        <v>21.7</v>
      </c>
      <c r="V1589">
        <v>41.2</v>
      </c>
      <c r="W1589">
        <v>2345</v>
      </c>
      <c r="X1589">
        <v>40</v>
      </c>
      <c r="Y1589" t="s">
        <v>907</v>
      </c>
    </row>
    <row r="1590" spans="1:25">
      <c r="A1590" t="s">
        <v>2575</v>
      </c>
      <c r="B1590" s="2" t="str">
        <f>Hyperlink("https://www.diodes.com/datasheet/download/DMT8008LSS.pdf")</f>
        <v>https://www.diodes.com/datasheet/download/DMT8008LSS.pdf</v>
      </c>
      <c r="C1590" t="str">
        <f>Hyperlink("https://www.diodes.com/part/view/DMT8008LSS","DMT8008LSS")</f>
        <v>DMT8008LSS</v>
      </c>
      <c r="D1590" t="s">
        <v>2572</v>
      </c>
      <c r="E1590" t="s">
        <v>30</v>
      </c>
      <c r="F1590" t="s">
        <v>28</v>
      </c>
      <c r="G1590" t="s">
        <v>29</v>
      </c>
      <c r="H1590" t="s">
        <v>30</v>
      </c>
      <c r="I1590">
        <v>80</v>
      </c>
      <c r="J1590">
        <v>20</v>
      </c>
      <c r="K1590">
        <v>13</v>
      </c>
      <c r="L1590">
        <v>32</v>
      </c>
      <c r="M1590">
        <v>2.2</v>
      </c>
      <c r="O1590">
        <v>8</v>
      </c>
      <c r="P1590">
        <v>12</v>
      </c>
      <c r="T1590">
        <v>2.8</v>
      </c>
      <c r="U1590">
        <v>24</v>
      </c>
      <c r="V1590">
        <v>47</v>
      </c>
      <c r="W1590">
        <v>2840</v>
      </c>
      <c r="X1590">
        <v>40</v>
      </c>
      <c r="Y1590" t="s">
        <v>213</v>
      </c>
    </row>
    <row r="1591" spans="1:25">
      <c r="A1591" t="s">
        <v>2576</v>
      </c>
      <c r="B1591" s="2" t="str">
        <f>Hyperlink("https://www.diodes.com/datasheet/download/DMT8008SCT.pdf")</f>
        <v>https://www.diodes.com/datasheet/download/DMT8008SCT.pdf</v>
      </c>
      <c r="C1591" t="str">
        <f>Hyperlink("https://www.diodes.com/part/view/DMT8008SCT","DMT8008SCT")</f>
        <v>DMT8008SCT</v>
      </c>
      <c r="D1591" t="s">
        <v>2572</v>
      </c>
      <c r="E1591" t="s">
        <v>30</v>
      </c>
      <c r="F1591" t="s">
        <v>28</v>
      </c>
      <c r="G1591" t="s">
        <v>29</v>
      </c>
      <c r="H1591" t="s">
        <v>30</v>
      </c>
      <c r="I1591">
        <v>80</v>
      </c>
      <c r="J1591">
        <v>20</v>
      </c>
      <c r="L1591">
        <v>111</v>
      </c>
      <c r="M1591">
        <v>2.4</v>
      </c>
      <c r="N1591">
        <v>167</v>
      </c>
      <c r="O1591">
        <v>7.5</v>
      </c>
      <c r="T1591">
        <v>4</v>
      </c>
      <c r="V1591">
        <v>34</v>
      </c>
      <c r="W1591">
        <v>1950</v>
      </c>
      <c r="X1591">
        <v>40</v>
      </c>
      <c r="Y1591" t="s">
        <v>1535</v>
      </c>
    </row>
    <row r="1592" spans="1:25">
      <c r="A1592" t="s">
        <v>2577</v>
      </c>
      <c r="B1592" s="2" t="str">
        <f>Hyperlink("https://www.diodes.com/datasheet/download/DMT8008SK3.pdf")</f>
        <v>https://www.diodes.com/datasheet/download/DMT8008SK3.pdf</v>
      </c>
      <c r="C1592" t="str">
        <f>Hyperlink("https://www.diodes.com/part/view/DMT8008SK3","DMT8008SK3")</f>
        <v>DMT8008SK3</v>
      </c>
      <c r="D1592" t="s">
        <v>2572</v>
      </c>
      <c r="E1592" t="s">
        <v>30</v>
      </c>
      <c r="F1592" t="s">
        <v>28</v>
      </c>
      <c r="G1592" t="s">
        <v>29</v>
      </c>
      <c r="H1592" t="s">
        <v>30</v>
      </c>
      <c r="I1592">
        <v>80</v>
      </c>
      <c r="J1592">
        <v>20</v>
      </c>
      <c r="L1592">
        <v>90</v>
      </c>
      <c r="M1592">
        <v>3</v>
      </c>
      <c r="O1592">
        <v>7.8</v>
      </c>
      <c r="T1592">
        <v>4</v>
      </c>
      <c r="V1592">
        <v>34</v>
      </c>
      <c r="W1592">
        <v>1950</v>
      </c>
      <c r="X1592">
        <v>40</v>
      </c>
      <c r="Y1592" t="s">
        <v>2096</v>
      </c>
    </row>
    <row r="1593" spans="1:25">
      <c r="A1593" t="s">
        <v>2578</v>
      </c>
      <c r="B1593" s="2" t="str">
        <f>Hyperlink("https://www.diodes.com/datasheet/download/DMT8008SPS.pdf")</f>
        <v>https://www.diodes.com/datasheet/download/DMT8008SPS.pdf</v>
      </c>
      <c r="C1593" t="str">
        <f>Hyperlink("https://www.diodes.com/part/view/DMT8008SPS","DMT8008SPS")</f>
        <v>DMT8008SPS</v>
      </c>
      <c r="D1593" t="s">
        <v>2572</v>
      </c>
      <c r="E1593" t="s">
        <v>30</v>
      </c>
      <c r="F1593" t="s">
        <v>28</v>
      </c>
      <c r="G1593" t="s">
        <v>29</v>
      </c>
      <c r="H1593" t="s">
        <v>30</v>
      </c>
      <c r="I1593">
        <v>80</v>
      </c>
      <c r="J1593">
        <v>20</v>
      </c>
      <c r="L1593">
        <v>83</v>
      </c>
      <c r="M1593">
        <v>2.8</v>
      </c>
      <c r="N1593">
        <v>83</v>
      </c>
      <c r="O1593">
        <v>7.8</v>
      </c>
      <c r="P1593" t="s">
        <v>2579</v>
      </c>
      <c r="T1593">
        <v>4</v>
      </c>
      <c r="U1593" t="s">
        <v>2580</v>
      </c>
      <c r="V1593">
        <v>34</v>
      </c>
      <c r="W1593">
        <v>1950</v>
      </c>
      <c r="X1593">
        <v>40</v>
      </c>
      <c r="Y1593" t="s">
        <v>907</v>
      </c>
    </row>
    <row r="1594" spans="1:25">
      <c r="A1594" t="s">
        <v>2581</v>
      </c>
      <c r="B1594" s="2" t="str">
        <f>Hyperlink("https://www.diodes.com/datasheet/download/DMT8012LFG.pdf")</f>
        <v>https://www.diodes.com/datasheet/download/DMT8012LFG.pdf</v>
      </c>
      <c r="C1594" t="str">
        <f>Hyperlink("https://www.diodes.com/part/view/DMT8012LFG","DMT8012LFG")</f>
        <v>DMT8012LFG</v>
      </c>
      <c r="D1594" t="s">
        <v>2572</v>
      </c>
      <c r="E1594" t="s">
        <v>27</v>
      </c>
      <c r="F1594" t="s">
        <v>28</v>
      </c>
      <c r="G1594" t="s">
        <v>29</v>
      </c>
      <c r="H1594" t="s">
        <v>30</v>
      </c>
      <c r="I1594">
        <v>80</v>
      </c>
      <c r="J1594">
        <v>20</v>
      </c>
      <c r="K1594">
        <v>9.5</v>
      </c>
      <c r="L1594">
        <v>35</v>
      </c>
      <c r="M1594">
        <v>2.2</v>
      </c>
      <c r="N1594">
        <v>30</v>
      </c>
      <c r="O1594">
        <v>16</v>
      </c>
      <c r="P1594">
        <v>22</v>
      </c>
      <c r="T1594">
        <v>3</v>
      </c>
      <c r="U1594">
        <v>15</v>
      </c>
      <c r="V1594">
        <v>34</v>
      </c>
      <c r="W1594">
        <v>1949</v>
      </c>
      <c r="Y1594" t="s">
        <v>718</v>
      </c>
    </row>
    <row r="1595" spans="1:25">
      <c r="A1595" t="s">
        <v>2582</v>
      </c>
      <c r="B1595" s="2" t="str">
        <f>Hyperlink("https://www.diodes.com/datasheet/download/DMT8012LK3.pdf")</f>
        <v>https://www.diodes.com/datasheet/download/DMT8012LK3.pdf</v>
      </c>
      <c r="C1595" t="str">
        <f>Hyperlink("https://www.diodes.com/part/view/DMT8012LK3","DMT8012LK3")</f>
        <v>DMT8012LK3</v>
      </c>
      <c r="D1595" t="s">
        <v>2572</v>
      </c>
      <c r="E1595" t="s">
        <v>27</v>
      </c>
      <c r="F1595" t="s">
        <v>28</v>
      </c>
      <c r="G1595" t="s">
        <v>29</v>
      </c>
      <c r="H1595" t="s">
        <v>30</v>
      </c>
      <c r="I1595">
        <v>80</v>
      </c>
      <c r="J1595">
        <v>20</v>
      </c>
      <c r="L1595">
        <v>44</v>
      </c>
      <c r="M1595">
        <v>2.7</v>
      </c>
      <c r="N1595">
        <v>50</v>
      </c>
      <c r="O1595">
        <v>17</v>
      </c>
      <c r="P1595">
        <v>22</v>
      </c>
      <c r="T1595">
        <v>3</v>
      </c>
      <c r="U1595">
        <v>15</v>
      </c>
      <c r="V1595">
        <v>34</v>
      </c>
      <c r="W1595">
        <v>1949</v>
      </c>
      <c r="X1595">
        <v>40</v>
      </c>
      <c r="Y1595" t="s">
        <v>681</v>
      </c>
    </row>
    <row r="1596" spans="1:25">
      <c r="A1596" t="s">
        <v>2583</v>
      </c>
      <c r="B1596" s="2" t="str">
        <f>Hyperlink("https://www.diodes.com/datasheet/download/DMT8012LPS.pdf")</f>
        <v>https://www.diodes.com/datasheet/download/DMT8012LPS.pdf</v>
      </c>
      <c r="C1596" t="str">
        <f>Hyperlink("https://www.diodes.com/part/view/DMT8012LPS","DMT8012LPS")</f>
        <v>DMT8012LPS</v>
      </c>
      <c r="D1596" t="s">
        <v>2572</v>
      </c>
      <c r="E1596" t="s">
        <v>27</v>
      </c>
      <c r="F1596" t="s">
        <v>28</v>
      </c>
      <c r="G1596" t="s">
        <v>29</v>
      </c>
      <c r="H1596" t="s">
        <v>30</v>
      </c>
      <c r="I1596">
        <v>80</v>
      </c>
      <c r="J1596">
        <v>20</v>
      </c>
      <c r="K1596">
        <v>9</v>
      </c>
      <c r="L1596">
        <v>65</v>
      </c>
      <c r="M1596">
        <v>2.1</v>
      </c>
      <c r="N1596">
        <v>113</v>
      </c>
      <c r="O1596">
        <v>17</v>
      </c>
      <c r="P1596">
        <v>21</v>
      </c>
      <c r="T1596">
        <v>3</v>
      </c>
      <c r="U1596">
        <v>15</v>
      </c>
      <c r="V1596">
        <v>34</v>
      </c>
      <c r="W1596">
        <v>1949</v>
      </c>
      <c r="X1596">
        <v>40</v>
      </c>
      <c r="Y1596" t="s">
        <v>907</v>
      </c>
    </row>
    <row r="1597" spans="1:25">
      <c r="A1597" t="s">
        <v>2584</v>
      </c>
      <c r="B1597" s="2" t="str">
        <f>Hyperlink("https://www.diodes.com/datasheet/download/DMT8012LSS.pdf")</f>
        <v>https://www.diodes.com/datasheet/download/DMT8012LSS.pdf</v>
      </c>
      <c r="C1597" t="str">
        <f>Hyperlink("https://www.diodes.com/part/view/DMT8012LSS","DMT8012LSS")</f>
        <v>DMT8012LSS</v>
      </c>
      <c r="D1597" t="s">
        <v>2572</v>
      </c>
      <c r="E1597" t="s">
        <v>27</v>
      </c>
      <c r="F1597" t="s">
        <v>28</v>
      </c>
      <c r="G1597" t="s">
        <v>29</v>
      </c>
      <c r="H1597" t="s">
        <v>30</v>
      </c>
      <c r="I1597">
        <v>80</v>
      </c>
      <c r="J1597">
        <v>20</v>
      </c>
      <c r="K1597">
        <v>9.7</v>
      </c>
      <c r="M1597">
        <v>2</v>
      </c>
      <c r="O1597">
        <v>16.5</v>
      </c>
      <c r="P1597">
        <v>20</v>
      </c>
      <c r="T1597">
        <v>3</v>
      </c>
      <c r="U1597">
        <v>15</v>
      </c>
      <c r="V1597">
        <v>34</v>
      </c>
      <c r="W1597">
        <v>1949</v>
      </c>
      <c r="X1597">
        <v>40</v>
      </c>
      <c r="Y1597" t="s">
        <v>213</v>
      </c>
    </row>
    <row r="1598" spans="1:25">
      <c r="A1598" t="s">
        <v>2585</v>
      </c>
      <c r="B1598" s="2" t="str">
        <f>Hyperlink("https://www.diodes.com/datasheet/download/DMT8020LDG.pdf")</f>
        <v>https://www.diodes.com/datasheet/download/DMT8020LDG.pdf</v>
      </c>
      <c r="C1598" t="str">
        <f>Hyperlink("https://www.diodes.com/part/view/DMT8020LDG","DMT8020LDG")</f>
        <v>DMT8020LDG</v>
      </c>
      <c r="D1598" t="s">
        <v>2586</v>
      </c>
      <c r="E1598" t="s">
        <v>30</v>
      </c>
      <c r="F1598" t="s">
        <v>28</v>
      </c>
      <c r="G1598" t="s">
        <v>40</v>
      </c>
      <c r="H1598" t="s">
        <v>30</v>
      </c>
      <c r="I1598">
        <v>80</v>
      </c>
      <c r="J1598">
        <v>20</v>
      </c>
      <c r="K1598">
        <v>6.7</v>
      </c>
      <c r="M1598">
        <v>1.8</v>
      </c>
      <c r="O1598">
        <v>20</v>
      </c>
      <c r="P1598">
        <v>30</v>
      </c>
      <c r="S1598">
        <v>1</v>
      </c>
      <c r="T1598">
        <v>2.5</v>
      </c>
      <c r="U1598">
        <v>9</v>
      </c>
      <c r="V1598">
        <v>17</v>
      </c>
      <c r="W1598">
        <v>892</v>
      </c>
      <c r="X1598">
        <v>40</v>
      </c>
      <c r="Y1598" t="s">
        <v>2449</v>
      </c>
    </row>
    <row r="1599" spans="1:25">
      <c r="A1599" t="s">
        <v>2587</v>
      </c>
      <c r="B1599" s="2" t="str">
        <f>Hyperlink("https://www.diodes.com/datasheet/download/DMT8030LFDF.pdf")</f>
        <v>https://www.diodes.com/datasheet/download/DMT8030LFDF.pdf</v>
      </c>
      <c r="C1599" t="str">
        <f>Hyperlink("https://www.diodes.com/part/view/DMT8030LFDF","DMT8030LFDF")</f>
        <v>DMT8030LFDF</v>
      </c>
      <c r="D1599" t="s">
        <v>2572</v>
      </c>
      <c r="E1599" t="s">
        <v>30</v>
      </c>
      <c r="F1599" t="s">
        <v>28</v>
      </c>
      <c r="G1599" t="s">
        <v>29</v>
      </c>
      <c r="H1599" t="s">
        <v>30</v>
      </c>
      <c r="I1599">
        <v>80</v>
      </c>
      <c r="J1599">
        <v>20</v>
      </c>
      <c r="K1599">
        <v>7.5</v>
      </c>
      <c r="M1599">
        <v>2.2</v>
      </c>
      <c r="O1599">
        <v>25</v>
      </c>
      <c r="P1599">
        <v>38</v>
      </c>
      <c r="T1599">
        <v>2.5</v>
      </c>
      <c r="U1599">
        <v>5.4</v>
      </c>
      <c r="V1599">
        <v>10.4</v>
      </c>
      <c r="W1599">
        <v>641</v>
      </c>
      <c r="X1599">
        <v>25</v>
      </c>
      <c r="Y1599" t="s">
        <v>780</v>
      </c>
    </row>
    <row r="1600" spans="1:25">
      <c r="A1600" t="s">
        <v>2588</v>
      </c>
      <c r="B1600" s="2" t="str">
        <f>Hyperlink("https://www.diodes.com/datasheet/download/DMTH10H003SPSW.pdf")</f>
        <v>https://www.diodes.com/datasheet/download/DMTH10H003SPSW.pdf</v>
      </c>
      <c r="C1600" t="str">
        <f>Hyperlink("https://www.diodes.com/part/view/DMTH10H003SPSW","DMTH10H003SPSW")</f>
        <v>DMTH10H003SPSW</v>
      </c>
      <c r="D1600" t="s">
        <v>1537</v>
      </c>
      <c r="E1600" t="s">
        <v>30</v>
      </c>
      <c r="F1600" t="s">
        <v>28</v>
      </c>
      <c r="G1600" t="s">
        <v>29</v>
      </c>
      <c r="H1600" t="s">
        <v>30</v>
      </c>
      <c r="I1600">
        <v>100</v>
      </c>
      <c r="J1600">
        <v>20</v>
      </c>
      <c r="L1600">
        <v>166</v>
      </c>
      <c r="M1600">
        <v>2.6</v>
      </c>
      <c r="N1600">
        <v>167</v>
      </c>
      <c r="O1600">
        <v>3</v>
      </c>
      <c r="T1600">
        <v>4</v>
      </c>
      <c r="V1600">
        <v>85</v>
      </c>
      <c r="X1600">
        <v>50</v>
      </c>
      <c r="Y1600" t="s">
        <v>907</v>
      </c>
    </row>
    <row r="1601" spans="1:25">
      <c r="A1601" t="s">
        <v>2589</v>
      </c>
      <c r="B1601" s="2" t="str">
        <f>Hyperlink("https://www.diodes.com/datasheet/download/DMTH10H005LCT.pdf")</f>
        <v>https://www.diodes.com/datasheet/download/DMTH10H005LCT.pdf</v>
      </c>
      <c r="C1601" t="str">
        <f>Hyperlink("https://www.diodes.com/part/view/DMTH10H005LCT","DMTH10H005LCT")</f>
        <v>DMTH10H005LCT</v>
      </c>
      <c r="D1601" t="s">
        <v>26</v>
      </c>
      <c r="E1601" t="s">
        <v>30</v>
      </c>
      <c r="F1601" t="s">
        <v>28</v>
      </c>
      <c r="G1601" t="s">
        <v>29</v>
      </c>
      <c r="H1601" t="s">
        <v>30</v>
      </c>
      <c r="I1601">
        <v>100</v>
      </c>
      <c r="J1601">
        <v>20</v>
      </c>
      <c r="L1601">
        <v>140</v>
      </c>
      <c r="M1601">
        <v>2.9</v>
      </c>
      <c r="O1601">
        <v>5</v>
      </c>
      <c r="T1601">
        <v>3.5</v>
      </c>
      <c r="V1601">
        <v>114</v>
      </c>
      <c r="W1601">
        <v>3688</v>
      </c>
      <c r="Y1601" t="s">
        <v>1535</v>
      </c>
    </row>
    <row r="1602" spans="1:25">
      <c r="A1602" t="s">
        <v>2590</v>
      </c>
      <c r="B1602" s="2" t="str">
        <f>Hyperlink("https://www.diodes.com/datasheet/download/DMTH10H005SCT.pdf")</f>
        <v>https://www.diodes.com/datasheet/download/DMTH10H005SCT.pdf</v>
      </c>
      <c r="C1602" t="str">
        <f>Hyperlink("https://www.diodes.com/part/view/DMTH10H005SCT","DMTH10H005SCT")</f>
        <v>DMTH10H005SCT</v>
      </c>
      <c r="D1602" t="s">
        <v>2591</v>
      </c>
      <c r="E1602" t="s">
        <v>27</v>
      </c>
      <c r="F1602" t="s">
        <v>28</v>
      </c>
      <c r="G1602" t="s">
        <v>29</v>
      </c>
      <c r="H1602" t="s">
        <v>30</v>
      </c>
      <c r="I1602">
        <v>100</v>
      </c>
      <c r="J1602">
        <v>20</v>
      </c>
      <c r="L1602">
        <v>140</v>
      </c>
      <c r="M1602">
        <v>2.9</v>
      </c>
      <c r="N1602">
        <v>187</v>
      </c>
      <c r="O1602">
        <v>5</v>
      </c>
      <c r="T1602">
        <v>4</v>
      </c>
      <c r="V1602">
        <v>111.7</v>
      </c>
      <c r="W1602">
        <v>8474</v>
      </c>
      <c r="X1602">
        <v>50</v>
      </c>
      <c r="Y1602" t="s">
        <v>1535</v>
      </c>
    </row>
    <row r="1603" spans="1:25">
      <c r="A1603" t="s">
        <v>2592</v>
      </c>
      <c r="B1603" s="2" t="str">
        <f>Hyperlink("https://www.diodes.com/datasheet/download/DMTH10H009LFG.pdf")</f>
        <v>https://www.diodes.com/datasheet/download/DMTH10H009LFG.pdf</v>
      </c>
      <c r="C1603" t="str">
        <f>Hyperlink("https://www.diodes.com/part/view/DMTH10H009LFG","DMTH10H009LFG")</f>
        <v>DMTH10H009LFG</v>
      </c>
      <c r="D1603" t="s">
        <v>1537</v>
      </c>
      <c r="E1603" t="s">
        <v>27</v>
      </c>
      <c r="F1603" t="s">
        <v>28</v>
      </c>
      <c r="G1603" t="s">
        <v>29</v>
      </c>
      <c r="H1603" t="s">
        <v>30</v>
      </c>
      <c r="I1603">
        <v>100</v>
      </c>
      <c r="J1603">
        <v>20</v>
      </c>
      <c r="K1603">
        <v>14</v>
      </c>
      <c r="L1603">
        <v>55</v>
      </c>
      <c r="M1603">
        <v>2.5</v>
      </c>
      <c r="N1603">
        <v>39</v>
      </c>
      <c r="O1603">
        <v>8.5</v>
      </c>
      <c r="P1603">
        <v>12.5</v>
      </c>
      <c r="T1603">
        <v>2.5</v>
      </c>
      <c r="V1603">
        <v>41</v>
      </c>
      <c r="X1603">
        <v>50</v>
      </c>
      <c r="Y1603" t="s">
        <v>718</v>
      </c>
    </row>
    <row r="1604" spans="1:25">
      <c r="A1604" t="s">
        <v>2593</v>
      </c>
      <c r="B1604" s="2" t="str">
        <f>Hyperlink("https://www.diodes.com/datasheet/download/DMTH10H009LFGQ.pdf")</f>
        <v>https://www.diodes.com/datasheet/download/DMTH10H009LFGQ.pdf</v>
      </c>
      <c r="C1604" t="str">
        <f>Hyperlink("https://www.diodes.com/part/view/DMTH10H009LFGQ","DMTH10H009LFGQ")</f>
        <v>DMTH10H009LFGQ</v>
      </c>
      <c r="D1604" t="s">
        <v>2594</v>
      </c>
      <c r="E1604" t="s">
        <v>27</v>
      </c>
      <c r="F1604" t="s">
        <v>37</v>
      </c>
      <c r="G1604" t="s">
        <v>29</v>
      </c>
      <c r="H1604" t="s">
        <v>30</v>
      </c>
      <c r="I1604">
        <v>100</v>
      </c>
      <c r="J1604">
        <v>20</v>
      </c>
      <c r="K1604">
        <v>12</v>
      </c>
      <c r="L1604">
        <v>46</v>
      </c>
      <c r="M1604">
        <v>2.5</v>
      </c>
      <c r="N1604">
        <v>39</v>
      </c>
      <c r="O1604">
        <v>8.5</v>
      </c>
      <c r="P1604">
        <v>13.6</v>
      </c>
      <c r="S1604">
        <v>1.1</v>
      </c>
      <c r="T1604">
        <v>2.5</v>
      </c>
      <c r="V1604">
        <v>41</v>
      </c>
      <c r="W1604">
        <v>2361</v>
      </c>
      <c r="X1604">
        <v>50</v>
      </c>
      <c r="Y1604" t="s">
        <v>718</v>
      </c>
    </row>
    <row r="1605" spans="1:25">
      <c r="A1605" t="s">
        <v>2595</v>
      </c>
      <c r="B1605" s="2" t="str">
        <f>Hyperlink("https://www.diodes.com/datasheet/download/DMTH10H009LPS.pdf")</f>
        <v>https://www.diodes.com/datasheet/download/DMTH10H009LPS.pdf</v>
      </c>
      <c r="C1605" t="str">
        <f>Hyperlink("https://www.diodes.com/part/view/DMTH10H009LPS","DMTH10H009LPS")</f>
        <v>DMTH10H009LPS</v>
      </c>
      <c r="D1605" t="s">
        <v>1537</v>
      </c>
      <c r="E1605" t="s">
        <v>30</v>
      </c>
      <c r="F1605" t="s">
        <v>28</v>
      </c>
      <c r="G1605" t="s">
        <v>29</v>
      </c>
      <c r="H1605" t="s">
        <v>30</v>
      </c>
      <c r="I1605">
        <v>100</v>
      </c>
      <c r="J1605">
        <v>20</v>
      </c>
      <c r="K1605">
        <v>14</v>
      </c>
      <c r="L1605">
        <v>100</v>
      </c>
      <c r="M1605">
        <v>3.5</v>
      </c>
      <c r="N1605">
        <v>125</v>
      </c>
      <c r="O1605">
        <v>8</v>
      </c>
      <c r="P1605">
        <v>12.5</v>
      </c>
      <c r="T1605">
        <v>2.5</v>
      </c>
      <c r="U1605">
        <v>20.2</v>
      </c>
      <c r="V1605">
        <v>40.2</v>
      </c>
      <c r="W1605">
        <v>2309</v>
      </c>
      <c r="X1605">
        <v>50</v>
      </c>
      <c r="Y1605" t="s">
        <v>907</v>
      </c>
    </row>
    <row r="1606" spans="1:25">
      <c r="A1606" t="s">
        <v>2596</v>
      </c>
      <c r="B1606" s="2" t="str">
        <f>Hyperlink("https://www.diodes.com/datasheet/download/DMTH10H009LPSQ.pdf")</f>
        <v>https://www.diodes.com/datasheet/download/DMTH10H009LPSQ.pdf</v>
      </c>
      <c r="C1606" t="str">
        <f>Hyperlink("https://www.diodes.com/part/view/DMTH10H009LPSQ","DMTH10H009LPSQ")</f>
        <v>DMTH10H009LPSQ</v>
      </c>
      <c r="D1606" t="s">
        <v>1537</v>
      </c>
      <c r="E1606" t="s">
        <v>27</v>
      </c>
      <c r="F1606" t="s">
        <v>37</v>
      </c>
      <c r="G1606" t="s">
        <v>29</v>
      </c>
      <c r="H1606" t="s">
        <v>30</v>
      </c>
      <c r="I1606">
        <v>100</v>
      </c>
      <c r="J1606">
        <v>20</v>
      </c>
      <c r="K1606">
        <v>15</v>
      </c>
      <c r="L1606">
        <v>91</v>
      </c>
      <c r="M1606">
        <v>3.1</v>
      </c>
      <c r="N1606">
        <v>100</v>
      </c>
      <c r="O1606">
        <v>8</v>
      </c>
      <c r="P1606">
        <v>12.5</v>
      </c>
      <c r="T1606">
        <v>2.5</v>
      </c>
      <c r="U1606">
        <v>20.2</v>
      </c>
      <c r="V1606">
        <v>40.2</v>
      </c>
      <c r="W1606">
        <v>2309</v>
      </c>
      <c r="X1606">
        <v>50</v>
      </c>
      <c r="Y1606" t="s">
        <v>907</v>
      </c>
    </row>
    <row r="1607" spans="1:25">
      <c r="A1607" t="s">
        <v>2597</v>
      </c>
      <c r="B1607" s="2" t="str">
        <f>Hyperlink("https://www.diodes.com/datasheet/download/DMTH10H009SPS.pdf")</f>
        <v>https://www.diodes.com/datasheet/download/DMTH10H009SPS.pdf</v>
      </c>
      <c r="C1607" t="str">
        <f>Hyperlink("https://www.diodes.com/part/view/DMTH10H009SPS","DMTH10H009SPS")</f>
        <v>DMTH10H009SPS</v>
      </c>
      <c r="D1607" t="s">
        <v>1537</v>
      </c>
      <c r="E1607" t="s">
        <v>30</v>
      </c>
      <c r="F1607" t="s">
        <v>28</v>
      </c>
      <c r="G1607" t="s">
        <v>29</v>
      </c>
      <c r="H1607" t="s">
        <v>30</v>
      </c>
      <c r="I1607">
        <v>100</v>
      </c>
      <c r="J1607">
        <v>20</v>
      </c>
      <c r="K1607">
        <v>16</v>
      </c>
      <c r="L1607">
        <v>88</v>
      </c>
      <c r="M1607">
        <v>3.2</v>
      </c>
      <c r="N1607">
        <v>100</v>
      </c>
      <c r="O1607">
        <v>8.9</v>
      </c>
      <c r="T1607">
        <v>4</v>
      </c>
      <c r="V1607">
        <v>30</v>
      </c>
      <c r="W1607">
        <v>2085</v>
      </c>
      <c r="X1607">
        <v>50</v>
      </c>
      <c r="Y1607" t="s">
        <v>907</v>
      </c>
    </row>
    <row r="1608" spans="1:25">
      <c r="A1608" t="s">
        <v>2598</v>
      </c>
      <c r="B1608" s="2" t="str">
        <f>Hyperlink("https://www.diodes.com/datasheet/download/DMTH10H009SPSQ.pdf")</f>
        <v>https://www.diodes.com/datasheet/download/DMTH10H009SPSQ.pdf</v>
      </c>
      <c r="C1608" t="str">
        <f>Hyperlink("https://www.diodes.com/part/view/DMTH10H009SPSQ","DMTH10H009SPSQ")</f>
        <v>DMTH10H009SPSQ</v>
      </c>
      <c r="D1608" t="s">
        <v>1537</v>
      </c>
      <c r="E1608" t="s">
        <v>27</v>
      </c>
      <c r="F1608" t="s">
        <v>37</v>
      </c>
      <c r="G1608" t="s">
        <v>29</v>
      </c>
      <c r="H1608" t="s">
        <v>30</v>
      </c>
      <c r="I1608">
        <v>100</v>
      </c>
      <c r="J1608">
        <v>20</v>
      </c>
      <c r="K1608">
        <v>14</v>
      </c>
      <c r="L1608">
        <v>86</v>
      </c>
      <c r="M1608">
        <v>2.9</v>
      </c>
      <c r="N1608">
        <v>100</v>
      </c>
      <c r="O1608">
        <v>8.9</v>
      </c>
      <c r="T1608">
        <v>4</v>
      </c>
      <c r="V1608">
        <v>30</v>
      </c>
      <c r="W1608">
        <v>2085</v>
      </c>
      <c r="X1608">
        <v>50</v>
      </c>
      <c r="Y1608" t="s">
        <v>907</v>
      </c>
    </row>
    <row r="1609" spans="1:25">
      <c r="A1609" t="s">
        <v>2599</v>
      </c>
      <c r="B1609" s="2" t="str">
        <f>Hyperlink("https://www.diodes.com/datasheet/download/DMTH10H010LCT.pdf")</f>
        <v>https://www.diodes.com/datasheet/download/DMTH10H010LCT.pdf</v>
      </c>
      <c r="C1609" t="str">
        <f>Hyperlink("https://www.diodes.com/part/view/DMTH10H010LCT","DMTH10H010LCT")</f>
        <v>DMTH10H010LCT</v>
      </c>
      <c r="D1609" t="s">
        <v>1537</v>
      </c>
      <c r="E1609" t="s">
        <v>27</v>
      </c>
      <c r="F1609" t="s">
        <v>28</v>
      </c>
      <c r="G1609" t="s">
        <v>29</v>
      </c>
      <c r="H1609" t="s">
        <v>30</v>
      </c>
      <c r="I1609">
        <v>100</v>
      </c>
      <c r="J1609">
        <v>20</v>
      </c>
      <c r="L1609">
        <v>108</v>
      </c>
      <c r="M1609">
        <v>2.4</v>
      </c>
      <c r="N1609">
        <v>166</v>
      </c>
      <c r="O1609">
        <v>9.5</v>
      </c>
      <c r="T1609">
        <v>3.5</v>
      </c>
      <c r="V1609">
        <v>58.4</v>
      </c>
      <c r="W1609">
        <v>2592</v>
      </c>
      <c r="X1609">
        <v>50</v>
      </c>
      <c r="Y1609" t="s">
        <v>2471</v>
      </c>
    </row>
    <row r="1610" spans="1:25">
      <c r="A1610" t="s">
        <v>2600</v>
      </c>
      <c r="B1610" s="2" t="str">
        <f>Hyperlink("https://www.diodes.com/datasheet/download/DMTH10H010LCTB.pdf")</f>
        <v>https://www.diodes.com/datasheet/download/DMTH10H010LCTB.pdf</v>
      </c>
      <c r="C1610" t="str">
        <f>Hyperlink("https://www.diodes.com/part/view/DMTH10H010LCTB","DMTH10H010LCTB")</f>
        <v>DMTH10H010LCTB</v>
      </c>
      <c r="D1610" t="s">
        <v>759</v>
      </c>
      <c r="E1610" t="s">
        <v>30</v>
      </c>
      <c r="F1610" t="s">
        <v>28</v>
      </c>
      <c r="G1610" t="s">
        <v>29</v>
      </c>
      <c r="H1610" t="s">
        <v>30</v>
      </c>
      <c r="I1610">
        <v>100</v>
      </c>
      <c r="J1610">
        <v>20</v>
      </c>
      <c r="L1610">
        <v>100</v>
      </c>
      <c r="M1610">
        <v>3.9</v>
      </c>
      <c r="N1610">
        <v>125</v>
      </c>
      <c r="O1610">
        <v>9.5</v>
      </c>
      <c r="P1610">
        <v>17</v>
      </c>
      <c r="T1610">
        <v>3.5</v>
      </c>
      <c r="V1610">
        <v>53.7</v>
      </c>
      <c r="W1610">
        <v>2592</v>
      </c>
      <c r="X1610">
        <v>50</v>
      </c>
      <c r="Y1610" t="s">
        <v>1385</v>
      </c>
    </row>
    <row r="1611" spans="1:25">
      <c r="A1611" t="s">
        <v>2601</v>
      </c>
      <c r="B1611" s="2" t="str">
        <f>Hyperlink("https://www.diodes.com/datasheet/download/DMTH10H010LPS.pdf")</f>
        <v>https://www.diodes.com/datasheet/download/DMTH10H010LPS.pdf</v>
      </c>
      <c r="C1611" t="str">
        <f>Hyperlink("https://www.diodes.com/part/view/DMTH10H010LPS","DMTH10H010LPS")</f>
        <v>DMTH10H010LPS</v>
      </c>
      <c r="D1611" t="s">
        <v>1537</v>
      </c>
      <c r="E1611" t="s">
        <v>27</v>
      </c>
      <c r="F1611" t="s">
        <v>28</v>
      </c>
      <c r="G1611" t="s">
        <v>29</v>
      </c>
      <c r="H1611" t="s">
        <v>30</v>
      </c>
      <c r="I1611">
        <v>100</v>
      </c>
      <c r="J1611">
        <v>20</v>
      </c>
      <c r="K1611">
        <v>10.8</v>
      </c>
      <c r="L1611">
        <v>98.4</v>
      </c>
      <c r="M1611">
        <v>1.5</v>
      </c>
      <c r="N1611">
        <v>125</v>
      </c>
      <c r="O1611">
        <v>8.6</v>
      </c>
      <c r="P1611">
        <v>20</v>
      </c>
      <c r="T1611">
        <v>3</v>
      </c>
      <c r="V1611">
        <v>53.7</v>
      </c>
      <c r="W1611">
        <v>2592</v>
      </c>
      <c r="X1611">
        <v>50</v>
      </c>
      <c r="Y1611" t="s">
        <v>907</v>
      </c>
    </row>
    <row r="1612" spans="1:25">
      <c r="A1612" t="s">
        <v>2602</v>
      </c>
      <c r="B1612" s="2" t="str">
        <f>Hyperlink("https://www.diodes.com/datasheet/download/DMTH10H010SCT.pdf")</f>
        <v>https://www.diodes.com/datasheet/download/DMTH10H010SCT.pdf</v>
      </c>
      <c r="C1612" t="str">
        <f>Hyperlink("https://www.diodes.com/part/view/DMTH10H010SCT","DMTH10H010SCT")</f>
        <v>DMTH10H010SCT</v>
      </c>
      <c r="D1612" t="s">
        <v>2591</v>
      </c>
      <c r="E1612" t="s">
        <v>30</v>
      </c>
      <c r="F1612" t="s">
        <v>28</v>
      </c>
      <c r="G1612" t="s">
        <v>29</v>
      </c>
      <c r="H1612" t="s">
        <v>30</v>
      </c>
      <c r="I1612">
        <v>100</v>
      </c>
      <c r="J1612">
        <v>20</v>
      </c>
      <c r="L1612">
        <v>100</v>
      </c>
      <c r="M1612">
        <v>2.5</v>
      </c>
      <c r="N1612">
        <v>187</v>
      </c>
      <c r="O1612">
        <v>9.5</v>
      </c>
      <c r="T1612">
        <v>4</v>
      </c>
      <c r="V1612">
        <v>56.4</v>
      </c>
      <c r="W1612">
        <v>4468</v>
      </c>
      <c r="X1612">
        <v>50</v>
      </c>
      <c r="Y1612" t="s">
        <v>1535</v>
      </c>
    </row>
    <row r="1613" spans="1:25">
      <c r="A1613" t="s">
        <v>2603</v>
      </c>
      <c r="B1613" s="2" t="str">
        <f>Hyperlink("https://www.diodes.com/datasheet/download/DMTH10H010SPS.pdf")</f>
        <v>https://www.diodes.com/datasheet/download/DMTH10H010SPS.pdf</v>
      </c>
      <c r="C1613" t="str">
        <f>Hyperlink("https://www.diodes.com/part/view/DMTH10H010SPS","DMTH10H010SPS")</f>
        <v>DMTH10H010SPS</v>
      </c>
      <c r="D1613" t="s">
        <v>1537</v>
      </c>
      <c r="E1613" t="s">
        <v>27</v>
      </c>
      <c r="F1613" t="s">
        <v>28</v>
      </c>
      <c r="G1613" t="s">
        <v>29</v>
      </c>
      <c r="H1613" t="s">
        <v>30</v>
      </c>
      <c r="I1613">
        <v>100</v>
      </c>
      <c r="J1613">
        <v>20</v>
      </c>
      <c r="K1613">
        <v>15</v>
      </c>
      <c r="L1613">
        <v>100</v>
      </c>
      <c r="M1613">
        <v>3</v>
      </c>
      <c r="N1613">
        <v>166</v>
      </c>
      <c r="O1613">
        <v>8.8</v>
      </c>
      <c r="P1613" t="s">
        <v>2604</v>
      </c>
      <c r="T1613">
        <v>4</v>
      </c>
      <c r="V1613">
        <v>56.4</v>
      </c>
      <c r="W1613">
        <v>4468</v>
      </c>
      <c r="X1613">
        <v>50</v>
      </c>
      <c r="Y1613" t="s">
        <v>907</v>
      </c>
    </row>
    <row r="1614" spans="1:25">
      <c r="A1614" t="s">
        <v>2605</v>
      </c>
      <c r="B1614" s="2" t="str">
        <f>Hyperlink("https://www.diodes.com/datasheet/download/DMTH10H010SPSQ.pdf")</f>
        <v>https://www.diodes.com/datasheet/download/DMTH10H010SPSQ.pdf</v>
      </c>
      <c r="C1614" t="str">
        <f>Hyperlink("https://www.diodes.com/part/view/DMTH10H010SPSQ","DMTH10H010SPSQ")</f>
        <v>DMTH10H010SPSQ</v>
      </c>
      <c r="D1614" t="s">
        <v>1537</v>
      </c>
      <c r="E1614" t="s">
        <v>27</v>
      </c>
      <c r="F1614" t="s">
        <v>37</v>
      </c>
      <c r="G1614" t="s">
        <v>29</v>
      </c>
      <c r="H1614" t="s">
        <v>30</v>
      </c>
      <c r="I1614">
        <v>100</v>
      </c>
      <c r="J1614">
        <v>20</v>
      </c>
      <c r="K1614">
        <v>15</v>
      </c>
      <c r="L1614">
        <v>100</v>
      </c>
      <c r="M1614">
        <v>3</v>
      </c>
      <c r="N1614">
        <v>166</v>
      </c>
      <c r="O1614">
        <v>8.8</v>
      </c>
      <c r="P1614" t="s">
        <v>2604</v>
      </c>
      <c r="T1614">
        <v>4</v>
      </c>
      <c r="V1614">
        <v>56.4</v>
      </c>
      <c r="W1614">
        <v>4468</v>
      </c>
      <c r="X1614">
        <v>50</v>
      </c>
      <c r="Y1614" t="s">
        <v>907</v>
      </c>
    </row>
    <row r="1615" spans="1:25">
      <c r="A1615" t="s">
        <v>2606</v>
      </c>
      <c r="B1615" s="2" t="str">
        <f>Hyperlink("https://www.diodes.com/datasheet/download/DMTH10H010SPSWQ.pdf")</f>
        <v>https://www.diodes.com/datasheet/download/DMTH10H010SPSWQ.pdf</v>
      </c>
      <c r="C1615" t="str">
        <f>Hyperlink("https://www.diodes.com/part/view/DMTH10H010SPSWQ","DMTH10H010SPSWQ")</f>
        <v>DMTH10H010SPSWQ</v>
      </c>
      <c r="D1615" t="s">
        <v>2594</v>
      </c>
      <c r="E1615" t="s">
        <v>27</v>
      </c>
      <c r="F1615" t="s">
        <v>37</v>
      </c>
      <c r="G1615" t="s">
        <v>29</v>
      </c>
      <c r="H1615" t="s">
        <v>30</v>
      </c>
      <c r="I1615">
        <v>100</v>
      </c>
      <c r="J1615">
        <v>20</v>
      </c>
      <c r="K1615">
        <v>15</v>
      </c>
      <c r="L1615">
        <v>100</v>
      </c>
      <c r="M1615">
        <v>3</v>
      </c>
      <c r="N1615">
        <v>166</v>
      </c>
      <c r="O1615">
        <v>8.8</v>
      </c>
      <c r="S1615">
        <v>2</v>
      </c>
      <c r="T1615">
        <v>4</v>
      </c>
      <c r="V1615">
        <v>56.4</v>
      </c>
      <c r="W1615">
        <v>4468</v>
      </c>
      <c r="X1615">
        <v>50</v>
      </c>
      <c r="Y1615" t="s">
        <v>1546</v>
      </c>
    </row>
    <row r="1616" spans="1:25">
      <c r="A1616" t="s">
        <v>2607</v>
      </c>
      <c r="B1616" s="2" t="str">
        <f>Hyperlink("https://www.diodes.com/datasheet/download/DMTH10H015LK3.pdf")</f>
        <v>https://www.diodes.com/datasheet/download/DMTH10H015LK3.pdf</v>
      </c>
      <c r="C1616" t="str">
        <f>Hyperlink("https://www.diodes.com/part/view/DMTH10H015LK3","DMTH10H015LK3")</f>
        <v>DMTH10H015LK3</v>
      </c>
      <c r="D1616" t="s">
        <v>1537</v>
      </c>
      <c r="E1616" t="s">
        <v>27</v>
      </c>
      <c r="F1616" t="s">
        <v>28</v>
      </c>
      <c r="G1616" t="s">
        <v>29</v>
      </c>
      <c r="H1616" t="s">
        <v>30</v>
      </c>
      <c r="I1616">
        <v>100</v>
      </c>
      <c r="J1616">
        <v>20</v>
      </c>
      <c r="L1616">
        <v>52.5</v>
      </c>
      <c r="M1616">
        <v>3.5</v>
      </c>
      <c r="O1616">
        <v>15</v>
      </c>
      <c r="P1616">
        <v>25</v>
      </c>
      <c r="T1616">
        <v>3.5</v>
      </c>
      <c r="V1616">
        <v>33.3</v>
      </c>
      <c r="W1616">
        <v>1871</v>
      </c>
      <c r="X1616">
        <v>50</v>
      </c>
      <c r="Y1616" t="s">
        <v>681</v>
      </c>
    </row>
    <row r="1617" spans="1:25">
      <c r="A1617" t="s">
        <v>2608</v>
      </c>
      <c r="B1617" s="2" t="str">
        <f>Hyperlink("https://www.diodes.com/datasheet/download/DMTH10H015LPS.pdf")</f>
        <v>https://www.diodes.com/datasheet/download/DMTH10H015LPS.pdf</v>
      </c>
      <c r="C1617" t="str">
        <f>Hyperlink("https://www.diodes.com/part/view/DMTH10H015LPS","DMTH10H015LPS")</f>
        <v>DMTH10H015LPS</v>
      </c>
      <c r="D1617" t="s">
        <v>1537</v>
      </c>
      <c r="E1617" t="s">
        <v>30</v>
      </c>
      <c r="F1617" t="s">
        <v>28</v>
      </c>
      <c r="G1617" t="s">
        <v>29</v>
      </c>
      <c r="H1617" t="s">
        <v>30</v>
      </c>
      <c r="I1617">
        <v>100</v>
      </c>
      <c r="J1617">
        <v>20</v>
      </c>
      <c r="K1617">
        <v>11</v>
      </c>
      <c r="L1617">
        <v>44</v>
      </c>
      <c r="M1617">
        <v>1.3</v>
      </c>
      <c r="N1617">
        <v>46</v>
      </c>
      <c r="O1617">
        <v>16</v>
      </c>
      <c r="P1617">
        <v>25</v>
      </c>
      <c r="T1617">
        <v>3</v>
      </c>
      <c r="V1617">
        <v>33.3</v>
      </c>
      <c r="W1617">
        <v>1871</v>
      </c>
      <c r="X1617">
        <v>50</v>
      </c>
      <c r="Y1617" t="s">
        <v>907</v>
      </c>
    </row>
    <row r="1618" spans="1:25">
      <c r="A1618" t="s">
        <v>2609</v>
      </c>
      <c r="B1618" s="2" t="str">
        <f>Hyperlink("https://www.diodes.com/datasheet/download/DMTH10H015LPSWQ.pdf")</f>
        <v>https://www.diodes.com/datasheet/download/DMTH10H015LPSWQ.pdf</v>
      </c>
      <c r="C1618" t="str">
        <f>Hyperlink("https://www.diodes.com/part/view/DMTH10H015LPSWQ","DMTH10H015LPSWQ")</f>
        <v>DMTH10H015LPSWQ</v>
      </c>
      <c r="D1618" t="s">
        <v>2594</v>
      </c>
      <c r="E1618" t="s">
        <v>27</v>
      </c>
      <c r="F1618" t="s">
        <v>37</v>
      </c>
      <c r="G1618" t="s">
        <v>29</v>
      </c>
      <c r="H1618" t="s">
        <v>30</v>
      </c>
      <c r="I1618">
        <v>100</v>
      </c>
      <c r="J1618">
        <v>20</v>
      </c>
      <c r="K1618">
        <v>11</v>
      </c>
      <c r="L1618">
        <v>44</v>
      </c>
      <c r="M1618">
        <v>2.8</v>
      </c>
      <c r="N1618">
        <v>46</v>
      </c>
      <c r="O1618">
        <v>16</v>
      </c>
      <c r="P1618">
        <v>25</v>
      </c>
      <c r="S1618">
        <v>1.4</v>
      </c>
      <c r="T1618">
        <v>3</v>
      </c>
      <c r="V1618">
        <v>33.3</v>
      </c>
      <c r="W1618">
        <v>1871</v>
      </c>
      <c r="X1618">
        <v>50</v>
      </c>
      <c r="Y1618" t="s">
        <v>1546</v>
      </c>
    </row>
    <row r="1619" spans="1:25">
      <c r="A1619" t="s">
        <v>2610</v>
      </c>
      <c r="B1619" s="2" t="str">
        <f>Hyperlink("https://www.diodes.com/datasheet/download/DMTH10H015SK3.pdf")</f>
        <v>https://www.diodes.com/datasheet/download/DMTH10H015SK3.pdf</v>
      </c>
      <c r="C1619" t="str">
        <f>Hyperlink("https://www.diodes.com/part/view/DMTH10H015SK3","DMTH10H015SK3")</f>
        <v>DMTH10H015SK3</v>
      </c>
      <c r="D1619" t="s">
        <v>1537</v>
      </c>
      <c r="E1619" t="s">
        <v>30</v>
      </c>
      <c r="F1619" t="s">
        <v>28</v>
      </c>
      <c r="G1619" t="s">
        <v>29</v>
      </c>
      <c r="H1619" t="s">
        <v>30</v>
      </c>
      <c r="I1619">
        <v>100</v>
      </c>
      <c r="J1619">
        <v>20</v>
      </c>
      <c r="L1619">
        <v>59</v>
      </c>
      <c r="M1619">
        <v>3.7</v>
      </c>
      <c r="O1619">
        <v>14</v>
      </c>
      <c r="T1619">
        <v>4</v>
      </c>
      <c r="V1619">
        <v>30.1</v>
      </c>
      <c r="W1619">
        <v>2343</v>
      </c>
      <c r="X1619">
        <v>50</v>
      </c>
      <c r="Y1619" t="s">
        <v>681</v>
      </c>
    </row>
    <row r="1620" spans="1:25">
      <c r="A1620" t="s">
        <v>2611</v>
      </c>
      <c r="B1620" s="2" t="str">
        <f>Hyperlink("https://www.diodes.com/datasheet/download/DMTH10H015SK3Q.pdf")</f>
        <v>https://www.diodes.com/datasheet/download/DMTH10H015SK3Q.pdf</v>
      </c>
      <c r="C1620" t="str">
        <f>Hyperlink("https://www.diodes.com/part/view/DMTH10H015SK3Q","DMTH10H015SK3Q")</f>
        <v>DMTH10H015SK3Q</v>
      </c>
      <c r="D1620" t="s">
        <v>1537</v>
      </c>
      <c r="E1620" t="s">
        <v>27</v>
      </c>
      <c r="F1620" t="s">
        <v>37</v>
      </c>
      <c r="G1620" t="s">
        <v>29</v>
      </c>
      <c r="H1620" t="s">
        <v>30</v>
      </c>
      <c r="I1620">
        <v>100</v>
      </c>
      <c r="J1620">
        <v>20</v>
      </c>
      <c r="L1620">
        <v>59</v>
      </c>
      <c r="M1620">
        <v>3.7</v>
      </c>
      <c r="O1620">
        <v>14</v>
      </c>
      <c r="T1620">
        <v>4</v>
      </c>
      <c r="V1620">
        <v>30.1</v>
      </c>
      <c r="W1620">
        <v>2343</v>
      </c>
      <c r="X1620">
        <v>50</v>
      </c>
      <c r="Y1620" t="s">
        <v>681</v>
      </c>
    </row>
    <row r="1621" spans="1:25">
      <c r="A1621" t="s">
        <v>2612</v>
      </c>
      <c r="B1621" s="2" t="str">
        <f>Hyperlink("https://www.diodes.com/datasheet/download/DMTH10H015SPS.pdf")</f>
        <v>https://www.diodes.com/datasheet/download/DMTH10H015SPS.pdf</v>
      </c>
      <c r="C1621" t="str">
        <f>Hyperlink("https://www.diodes.com/part/view/DMTH10H015SPS","DMTH10H015SPS")</f>
        <v>DMTH10H015SPS</v>
      </c>
      <c r="D1621" t="s">
        <v>1537</v>
      </c>
      <c r="E1621" t="s">
        <v>27</v>
      </c>
      <c r="F1621" t="s">
        <v>28</v>
      </c>
      <c r="G1621" t="s">
        <v>29</v>
      </c>
      <c r="H1621" t="s">
        <v>30</v>
      </c>
      <c r="I1621">
        <v>100</v>
      </c>
      <c r="J1621">
        <v>20</v>
      </c>
      <c r="L1621">
        <v>56</v>
      </c>
      <c r="M1621">
        <v>2.7</v>
      </c>
      <c r="N1621">
        <v>94</v>
      </c>
      <c r="O1621">
        <v>14.5</v>
      </c>
      <c r="P1621" t="s">
        <v>2613</v>
      </c>
      <c r="T1621">
        <v>4</v>
      </c>
      <c r="V1621">
        <v>30.1</v>
      </c>
      <c r="W1621">
        <v>2343</v>
      </c>
      <c r="X1621">
        <v>50</v>
      </c>
      <c r="Y1621" t="s">
        <v>907</v>
      </c>
    </row>
    <row r="1622" spans="1:25">
      <c r="A1622" t="s">
        <v>2614</v>
      </c>
      <c r="B1622" s="2" t="str">
        <f>Hyperlink("https://www.diodes.com/datasheet/download/DMTH10H015SPSQ.pdf")</f>
        <v>https://www.diodes.com/datasheet/download/DMTH10H015SPSQ.pdf</v>
      </c>
      <c r="C1622" t="str">
        <f>Hyperlink("https://www.diodes.com/part/view/DMTH10H015SPSQ","DMTH10H015SPSQ")</f>
        <v>DMTH10H015SPSQ</v>
      </c>
      <c r="D1622" t="s">
        <v>1537</v>
      </c>
      <c r="E1622" t="s">
        <v>27</v>
      </c>
      <c r="F1622" t="s">
        <v>37</v>
      </c>
      <c r="G1622" t="s">
        <v>29</v>
      </c>
      <c r="H1622" t="s">
        <v>30</v>
      </c>
      <c r="I1622">
        <v>100</v>
      </c>
      <c r="J1622">
        <v>20</v>
      </c>
      <c r="K1622">
        <v>8.4</v>
      </c>
      <c r="L1622">
        <v>56</v>
      </c>
      <c r="M1622">
        <v>2.7</v>
      </c>
      <c r="N1622">
        <v>94</v>
      </c>
      <c r="O1622">
        <v>14.5</v>
      </c>
      <c r="P1622" t="s">
        <v>2615</v>
      </c>
      <c r="T1622">
        <v>4</v>
      </c>
      <c r="V1622">
        <v>30.1</v>
      </c>
      <c r="W1622">
        <v>2343</v>
      </c>
      <c r="X1622">
        <v>50</v>
      </c>
      <c r="Y1622" t="s">
        <v>907</v>
      </c>
    </row>
    <row r="1623" spans="1:25">
      <c r="A1623" t="s">
        <v>2616</v>
      </c>
      <c r="B1623" s="2" t="str">
        <f>Hyperlink("https://www.diodes.com/datasheet/download/DMTH10H015SPSW.pdf")</f>
        <v>https://www.diodes.com/datasheet/download/DMTH10H015SPSW.pdf</v>
      </c>
      <c r="C1623" t="str">
        <f>Hyperlink("https://www.diodes.com/part/view/DMTH10H015SPSW","DMTH10H015SPSW")</f>
        <v>DMTH10H015SPSW</v>
      </c>
      <c r="D1623" t="s">
        <v>1544</v>
      </c>
      <c r="E1623" t="s">
        <v>30</v>
      </c>
      <c r="F1623" t="s">
        <v>28</v>
      </c>
      <c r="G1623" t="s">
        <v>29</v>
      </c>
      <c r="H1623" t="s">
        <v>30</v>
      </c>
      <c r="I1623">
        <v>100</v>
      </c>
      <c r="J1623">
        <v>20</v>
      </c>
      <c r="L1623">
        <v>56</v>
      </c>
      <c r="M1623">
        <v>2.7</v>
      </c>
      <c r="N1623">
        <v>94</v>
      </c>
      <c r="O1623">
        <v>14.5</v>
      </c>
      <c r="P1623" t="s">
        <v>2617</v>
      </c>
      <c r="S1623">
        <v>2</v>
      </c>
      <c r="T1623">
        <v>4</v>
      </c>
      <c r="V1623">
        <v>30.1</v>
      </c>
      <c r="W1623">
        <v>2343</v>
      </c>
      <c r="X1623">
        <v>50</v>
      </c>
      <c r="Y1623" t="s">
        <v>1546</v>
      </c>
    </row>
    <row r="1624" spans="1:25">
      <c r="A1624" t="s">
        <v>2618</v>
      </c>
      <c r="B1624" s="2" t="str">
        <f>Hyperlink("https://www.diodes.com/datasheet/download/DMTH10H015SPSWQ.pdf")</f>
        <v>https://www.diodes.com/datasheet/download/DMTH10H015SPSWQ.pdf</v>
      </c>
      <c r="C1624" t="str">
        <f>Hyperlink("https://www.diodes.com/part/view/DMTH10H015SPSWQ","DMTH10H015SPSWQ")</f>
        <v>DMTH10H015SPSWQ</v>
      </c>
      <c r="D1624" t="s">
        <v>1544</v>
      </c>
      <c r="E1624" t="s">
        <v>27</v>
      </c>
      <c r="F1624" t="s">
        <v>37</v>
      </c>
      <c r="G1624" t="s">
        <v>29</v>
      </c>
      <c r="H1624" t="s">
        <v>30</v>
      </c>
      <c r="I1624">
        <v>100</v>
      </c>
      <c r="J1624">
        <v>20</v>
      </c>
      <c r="L1624">
        <v>56</v>
      </c>
      <c r="M1624">
        <v>2.7</v>
      </c>
      <c r="N1624">
        <v>94</v>
      </c>
      <c r="O1624">
        <v>14.5</v>
      </c>
      <c r="S1624">
        <v>2</v>
      </c>
      <c r="T1624">
        <v>4</v>
      </c>
      <c r="V1624">
        <v>30.1</v>
      </c>
      <c r="W1624">
        <v>2343</v>
      </c>
      <c r="X1624">
        <v>50</v>
      </c>
      <c r="Y1624" t="s">
        <v>1546</v>
      </c>
    </row>
    <row r="1625" spans="1:25">
      <c r="A1625" t="s">
        <v>2619</v>
      </c>
      <c r="B1625" s="2" t="str">
        <f>Hyperlink("https://www.diodes.com/datasheet/download/DMTH10H017LPD.pdf")</f>
        <v>https://www.diodes.com/datasheet/download/DMTH10H017LPD.pdf</v>
      </c>
      <c r="C1625" t="str">
        <f>Hyperlink("https://www.diodes.com/part/view/DMTH10H017LPD","DMTH10H017LPD")</f>
        <v>DMTH10H017LPD</v>
      </c>
      <c r="D1625" t="s">
        <v>1537</v>
      </c>
      <c r="E1625" t="s">
        <v>27</v>
      </c>
      <c r="F1625" t="s">
        <v>28</v>
      </c>
      <c r="G1625" t="s">
        <v>40</v>
      </c>
      <c r="H1625" t="s">
        <v>30</v>
      </c>
      <c r="I1625">
        <v>100</v>
      </c>
      <c r="J1625">
        <v>20</v>
      </c>
      <c r="L1625">
        <v>59</v>
      </c>
      <c r="M1625">
        <v>2.6</v>
      </c>
      <c r="N1625">
        <v>93</v>
      </c>
      <c r="O1625">
        <v>17.4</v>
      </c>
      <c r="P1625">
        <v>30.3</v>
      </c>
      <c r="T1625">
        <v>3</v>
      </c>
      <c r="U1625">
        <v>14.4</v>
      </c>
      <c r="V1625">
        <v>28.6</v>
      </c>
      <c r="W1625">
        <v>1986</v>
      </c>
      <c r="X1625">
        <v>50</v>
      </c>
      <c r="Y1625" t="s">
        <v>907</v>
      </c>
    </row>
    <row r="1626" spans="1:25">
      <c r="A1626" t="s">
        <v>2620</v>
      </c>
      <c r="B1626" s="2" t="str">
        <f>Hyperlink("https://www.diodes.com/datasheet/download/DMTH10H017LPDQ.pdf")</f>
        <v>https://www.diodes.com/datasheet/download/DMTH10H017LPDQ.pdf</v>
      </c>
      <c r="C1626" t="str">
        <f>Hyperlink("https://www.diodes.com/part/view/DMTH10H017LPDQ","DMTH10H017LPDQ")</f>
        <v>DMTH10H017LPDQ</v>
      </c>
      <c r="D1626" t="s">
        <v>2621</v>
      </c>
      <c r="E1626" t="s">
        <v>27</v>
      </c>
      <c r="F1626" t="s">
        <v>37</v>
      </c>
      <c r="G1626" t="s">
        <v>40</v>
      </c>
      <c r="H1626" t="s">
        <v>30</v>
      </c>
      <c r="I1626">
        <v>100</v>
      </c>
      <c r="J1626">
        <v>20</v>
      </c>
      <c r="K1626">
        <v>13</v>
      </c>
      <c r="L1626">
        <v>59</v>
      </c>
      <c r="M1626">
        <v>2.6</v>
      </c>
      <c r="N1626">
        <v>93</v>
      </c>
      <c r="O1626">
        <v>17.4</v>
      </c>
      <c r="P1626">
        <v>30.3</v>
      </c>
      <c r="T1626">
        <v>3</v>
      </c>
      <c r="U1626">
        <v>14.4</v>
      </c>
      <c r="V1626">
        <v>28.6</v>
      </c>
      <c r="W1626">
        <v>1986</v>
      </c>
      <c r="X1626">
        <v>50</v>
      </c>
      <c r="Y1626" t="s">
        <v>907</v>
      </c>
    </row>
    <row r="1627" spans="1:25">
      <c r="A1627" t="s">
        <v>2622</v>
      </c>
      <c r="B1627" s="2" t="str">
        <f>Hyperlink("https://www.diodes.com/datasheet/download/DMTH10H025LK3.pdf")</f>
        <v>https://www.diodes.com/datasheet/download/DMTH10H025LK3.pdf</v>
      </c>
      <c r="C1627" t="str">
        <f>Hyperlink("https://www.diodes.com/part/view/DMTH10H025LK3","DMTH10H025LK3")</f>
        <v>DMTH10H025LK3</v>
      </c>
      <c r="D1627" t="s">
        <v>759</v>
      </c>
      <c r="E1627" t="s">
        <v>27</v>
      </c>
      <c r="F1627" t="s">
        <v>28</v>
      </c>
      <c r="G1627" t="s">
        <v>29</v>
      </c>
      <c r="H1627" t="s">
        <v>30</v>
      </c>
      <c r="I1627">
        <v>100</v>
      </c>
      <c r="J1627">
        <v>20</v>
      </c>
      <c r="L1627">
        <v>51.7</v>
      </c>
      <c r="M1627">
        <v>3.1</v>
      </c>
      <c r="N1627">
        <v>100</v>
      </c>
      <c r="O1627">
        <v>22</v>
      </c>
      <c r="P1627">
        <v>43.7</v>
      </c>
      <c r="T1627">
        <v>3</v>
      </c>
      <c r="V1627">
        <v>21</v>
      </c>
      <c r="W1627">
        <v>1471</v>
      </c>
      <c r="X1627">
        <v>50</v>
      </c>
      <c r="Y1627" t="s">
        <v>681</v>
      </c>
    </row>
    <row r="1628" spans="1:25">
      <c r="A1628" t="s">
        <v>2623</v>
      </c>
      <c r="B1628" s="2" t="str">
        <f>Hyperlink("https://www.diodes.com/datasheet/download/DMTH10H025LK3Q.pdf")</f>
        <v>https://www.diodes.com/datasheet/download/DMTH10H025LK3Q.pdf</v>
      </c>
      <c r="C1628" t="str">
        <f>Hyperlink("https://www.diodes.com/part/view/DMTH10H025LK3Q","DMTH10H025LK3Q")</f>
        <v>DMTH10H025LK3Q</v>
      </c>
      <c r="D1628" t="s">
        <v>1537</v>
      </c>
      <c r="E1628" t="s">
        <v>27</v>
      </c>
      <c r="F1628" t="s">
        <v>37</v>
      </c>
      <c r="G1628" t="s">
        <v>29</v>
      </c>
      <c r="H1628" t="s">
        <v>30</v>
      </c>
      <c r="I1628">
        <v>100</v>
      </c>
      <c r="J1628">
        <v>20</v>
      </c>
      <c r="L1628">
        <v>51.7</v>
      </c>
      <c r="M1628">
        <v>3.1</v>
      </c>
      <c r="N1628">
        <v>100</v>
      </c>
      <c r="O1628">
        <v>22</v>
      </c>
      <c r="P1628">
        <v>43.7</v>
      </c>
      <c r="T1628">
        <v>3</v>
      </c>
      <c r="V1628">
        <v>21</v>
      </c>
      <c r="W1628">
        <v>1477</v>
      </c>
      <c r="X1628">
        <v>50</v>
      </c>
      <c r="Y1628" t="s">
        <v>681</v>
      </c>
    </row>
    <row r="1629" spans="1:25">
      <c r="A1629" t="s">
        <v>2624</v>
      </c>
      <c r="B1629" s="2" t="str">
        <f>Hyperlink("https://www.diodes.com/datasheet/download/DMTH10H025LPDW.pdf")</f>
        <v>https://www.diodes.com/datasheet/download/DMTH10H025LPDW.pdf</v>
      </c>
      <c r="C1629" t="str">
        <f>Hyperlink("https://www.diodes.com/part/view/DMTH10H025LPDW","DMTH10H025LPDW")</f>
        <v>DMTH10H025LPDW</v>
      </c>
      <c r="D1629" t="s">
        <v>2625</v>
      </c>
      <c r="E1629" t="s">
        <v>27</v>
      </c>
      <c r="F1629" t="s">
        <v>28</v>
      </c>
      <c r="G1629" t="s">
        <v>40</v>
      </c>
      <c r="H1629" t="s">
        <v>30</v>
      </c>
      <c r="I1629">
        <v>100</v>
      </c>
      <c r="J1629">
        <v>20</v>
      </c>
      <c r="L1629">
        <v>42</v>
      </c>
      <c r="M1629">
        <v>3.4</v>
      </c>
      <c r="N1629">
        <v>93</v>
      </c>
      <c r="O1629">
        <v>23</v>
      </c>
      <c r="P1629">
        <v>45</v>
      </c>
      <c r="S1629">
        <v>1</v>
      </c>
      <c r="T1629">
        <v>3</v>
      </c>
      <c r="V1629">
        <v>22</v>
      </c>
      <c r="W1629">
        <v>1463</v>
      </c>
      <c r="X1629">
        <v>50</v>
      </c>
      <c r="Y1629" t="s">
        <v>168</v>
      </c>
    </row>
    <row r="1630" spans="1:25">
      <c r="A1630" t="s">
        <v>2626</v>
      </c>
      <c r="B1630" s="2" t="str">
        <f>Hyperlink("https://www.diodes.com/datasheet/download/DMTH10H025LPDWQ.pdf")</f>
        <v>https://www.diodes.com/datasheet/download/DMTH10H025LPDWQ.pdf</v>
      </c>
      <c r="C1630" t="str">
        <f>Hyperlink("https://www.diodes.com/part/view/DMTH10H025LPDWQ","DMTH10H025LPDWQ")</f>
        <v>DMTH10H025LPDWQ</v>
      </c>
      <c r="D1630" t="s">
        <v>2625</v>
      </c>
      <c r="E1630" t="s">
        <v>27</v>
      </c>
      <c r="F1630" t="s">
        <v>37</v>
      </c>
      <c r="G1630" t="s">
        <v>40</v>
      </c>
      <c r="H1630" t="s">
        <v>30</v>
      </c>
      <c r="I1630">
        <v>100</v>
      </c>
      <c r="J1630">
        <v>20</v>
      </c>
      <c r="L1630">
        <v>42</v>
      </c>
      <c r="M1630">
        <v>3.4</v>
      </c>
      <c r="N1630">
        <v>93</v>
      </c>
      <c r="O1630">
        <v>23</v>
      </c>
      <c r="P1630">
        <v>45</v>
      </c>
      <c r="S1630">
        <v>1</v>
      </c>
      <c r="T1630">
        <v>3</v>
      </c>
      <c r="V1630">
        <v>22</v>
      </c>
      <c r="W1630">
        <v>1463</v>
      </c>
      <c r="X1630">
        <v>50</v>
      </c>
      <c r="Y1630" t="s">
        <v>168</v>
      </c>
    </row>
    <row r="1631" spans="1:25">
      <c r="A1631" t="s">
        <v>2627</v>
      </c>
      <c r="B1631" s="2" t="str">
        <f>Hyperlink("https://www.diodes.com/datasheet/download/DMTH10H025LPS.pdf")</f>
        <v>https://www.diodes.com/datasheet/download/DMTH10H025LPS.pdf</v>
      </c>
      <c r="C1631" t="str">
        <f>Hyperlink("https://www.diodes.com/part/view/DMTH10H025LPS","DMTH10H025LPS")</f>
        <v>DMTH10H025LPS</v>
      </c>
      <c r="D1631" t="s">
        <v>1537</v>
      </c>
      <c r="E1631" t="s">
        <v>27</v>
      </c>
      <c r="F1631" t="s">
        <v>28</v>
      </c>
      <c r="G1631" t="s">
        <v>29</v>
      </c>
      <c r="H1631" t="s">
        <v>30</v>
      </c>
      <c r="I1631">
        <v>100</v>
      </c>
      <c r="J1631">
        <v>20</v>
      </c>
      <c r="K1631">
        <v>9.3</v>
      </c>
      <c r="L1631">
        <v>45</v>
      </c>
      <c r="M1631">
        <v>3.2</v>
      </c>
      <c r="N1631">
        <v>79</v>
      </c>
      <c r="O1631">
        <v>23</v>
      </c>
      <c r="P1631" t="s">
        <v>2306</v>
      </c>
      <c r="T1631">
        <v>3</v>
      </c>
      <c r="V1631">
        <v>21</v>
      </c>
      <c r="W1631">
        <v>1477</v>
      </c>
      <c r="X1631">
        <v>50</v>
      </c>
      <c r="Y1631" t="s">
        <v>907</v>
      </c>
    </row>
    <row r="1632" spans="1:25">
      <c r="A1632" t="s">
        <v>2628</v>
      </c>
      <c r="B1632" s="2" t="str">
        <f>Hyperlink("https://www.diodes.com/datasheet/download/DMTH10H025LPSQ+.pdf")</f>
        <v>https://www.diodes.com/datasheet/download/DMTH10H025LPSQ+.pdf</v>
      </c>
      <c r="C1632" t="str">
        <f>Hyperlink("https://www.diodes.com/part/view/DMTH10H025LPSQ","DMTH10H025LPSQ")</f>
        <v>DMTH10H025LPSQ</v>
      </c>
      <c r="D1632" t="s">
        <v>1537</v>
      </c>
      <c r="E1632" t="s">
        <v>27</v>
      </c>
      <c r="F1632" t="s">
        <v>37</v>
      </c>
      <c r="G1632" t="s">
        <v>29</v>
      </c>
      <c r="H1632" t="s">
        <v>30</v>
      </c>
      <c r="I1632">
        <v>100</v>
      </c>
      <c r="J1632">
        <v>20</v>
      </c>
      <c r="K1632">
        <v>9.3</v>
      </c>
      <c r="L1632">
        <v>45</v>
      </c>
      <c r="M1632">
        <v>3.2</v>
      </c>
      <c r="N1632">
        <v>79</v>
      </c>
      <c r="O1632">
        <v>23</v>
      </c>
      <c r="T1632">
        <v>3</v>
      </c>
      <c r="V1632">
        <v>21</v>
      </c>
      <c r="W1632">
        <v>1477</v>
      </c>
      <c r="X1632">
        <v>50</v>
      </c>
      <c r="Y1632" t="s">
        <v>907</v>
      </c>
    </row>
    <row r="1633" spans="1:25">
      <c r="A1633" t="s">
        <v>2629</v>
      </c>
      <c r="B1633" s="2" t="str">
        <f>Hyperlink("https://www.diodes.com/datasheet/download/DMTH10H025LPSWQ.pdf")</f>
        <v>https://www.diodes.com/datasheet/download/DMTH10H025LPSWQ.pdf</v>
      </c>
      <c r="C1633" t="str">
        <f>Hyperlink("https://www.diodes.com/part/view/DMTH10H025LPSWQ","DMTH10H025LPSWQ")</f>
        <v>DMTH10H025LPSWQ</v>
      </c>
      <c r="D1633" t="s">
        <v>2594</v>
      </c>
      <c r="E1633" t="s">
        <v>27</v>
      </c>
      <c r="F1633" t="s">
        <v>37</v>
      </c>
      <c r="G1633" t="s">
        <v>29</v>
      </c>
      <c r="H1633" t="s">
        <v>30</v>
      </c>
      <c r="I1633">
        <v>100</v>
      </c>
      <c r="J1633">
        <v>20</v>
      </c>
      <c r="K1633">
        <v>9.3</v>
      </c>
      <c r="L1633">
        <v>45</v>
      </c>
      <c r="M1633">
        <v>3.2</v>
      </c>
      <c r="N1633">
        <v>79</v>
      </c>
      <c r="O1633">
        <v>23</v>
      </c>
      <c r="S1633">
        <v>1</v>
      </c>
      <c r="T1633">
        <v>3</v>
      </c>
      <c r="V1633">
        <v>21</v>
      </c>
      <c r="W1633">
        <v>1477</v>
      </c>
      <c r="X1633">
        <v>50</v>
      </c>
      <c r="Y1633" t="s">
        <v>1546</v>
      </c>
    </row>
    <row r="1634" spans="1:25">
      <c r="A1634" t="s">
        <v>2630</v>
      </c>
      <c r="B1634" s="2" t="str">
        <f>Hyperlink("https://www.diodes.com/datasheet/download/DMTH10H025SK3.pdf")</f>
        <v>https://www.diodes.com/datasheet/download/DMTH10H025SK3.pdf</v>
      </c>
      <c r="C1634" t="str">
        <f>Hyperlink("https://www.diodes.com/part/view/DMTH10H025SK3","DMTH10H025SK3")</f>
        <v>DMTH10H025SK3</v>
      </c>
      <c r="D1634" t="s">
        <v>759</v>
      </c>
      <c r="E1634" t="s">
        <v>27</v>
      </c>
      <c r="F1634" t="s">
        <v>28</v>
      </c>
      <c r="G1634" t="s">
        <v>29</v>
      </c>
      <c r="H1634" t="s">
        <v>30</v>
      </c>
      <c r="I1634">
        <v>100</v>
      </c>
      <c r="J1634">
        <v>20</v>
      </c>
      <c r="L1634">
        <v>46.3</v>
      </c>
      <c r="M1634">
        <v>3.7</v>
      </c>
      <c r="O1634">
        <v>23</v>
      </c>
      <c r="P1634" t="s">
        <v>2306</v>
      </c>
      <c r="T1634">
        <v>4</v>
      </c>
      <c r="U1634" t="s">
        <v>2631</v>
      </c>
      <c r="V1634">
        <v>21.4</v>
      </c>
      <c r="W1634">
        <v>1544</v>
      </c>
      <c r="X1634">
        <v>50</v>
      </c>
      <c r="Y1634" t="s">
        <v>681</v>
      </c>
    </row>
    <row r="1635" spans="1:25">
      <c r="A1635" t="s">
        <v>2632</v>
      </c>
      <c r="B1635" s="2" t="str">
        <f>Hyperlink("https://www.diodes.com/datasheet/download/DMTH10H032LDVW.pdf")</f>
        <v>https://www.diodes.com/datasheet/download/DMTH10H032LDVW.pdf</v>
      </c>
      <c r="C1635" t="str">
        <f>Hyperlink("https://www.diodes.com/part/view/DMTH10H032LDVW","DMTH10H032LDVW")</f>
        <v>DMTH10H032LDVW</v>
      </c>
      <c r="D1635" t="s">
        <v>2633</v>
      </c>
      <c r="E1635" t="s">
        <v>27</v>
      </c>
      <c r="F1635" t="s">
        <v>28</v>
      </c>
      <c r="G1635" t="s">
        <v>40</v>
      </c>
      <c r="H1635" t="s">
        <v>30</v>
      </c>
      <c r="I1635">
        <v>100</v>
      </c>
      <c r="J1635">
        <v>20</v>
      </c>
      <c r="K1635">
        <v>7.2</v>
      </c>
      <c r="M1635">
        <v>3.3</v>
      </c>
      <c r="O1635">
        <v>32</v>
      </c>
      <c r="S1635">
        <v>1.3</v>
      </c>
      <c r="T1635">
        <v>2.5</v>
      </c>
      <c r="U1635">
        <v>6.3</v>
      </c>
      <c r="V1635">
        <v>11.9</v>
      </c>
      <c r="W1635">
        <v>683</v>
      </c>
      <c r="X1635">
        <v>50</v>
      </c>
      <c r="Y1635" t="s">
        <v>401</v>
      </c>
    </row>
    <row r="1636" spans="1:25">
      <c r="A1636" t="s">
        <v>2634</v>
      </c>
      <c r="B1636" s="2" t="str">
        <f>Hyperlink("https://www.diodes.com/datasheet/download/DMTH10H032LDVWQ.pdf")</f>
        <v>https://www.diodes.com/datasheet/download/DMTH10H032LDVWQ.pdf</v>
      </c>
      <c r="C1636" t="str">
        <f>Hyperlink("https://www.diodes.com/part/view/DMTH10H032LDVWQ","DMTH10H032LDVWQ")</f>
        <v>DMTH10H032LDVWQ</v>
      </c>
      <c r="D1636" t="s">
        <v>2625</v>
      </c>
      <c r="E1636" t="s">
        <v>27</v>
      </c>
      <c r="F1636" t="s">
        <v>37</v>
      </c>
      <c r="G1636" t="s">
        <v>40</v>
      </c>
      <c r="H1636" t="s">
        <v>30</v>
      </c>
      <c r="I1636">
        <v>100</v>
      </c>
      <c r="J1636">
        <v>20</v>
      </c>
      <c r="K1636">
        <v>7.2</v>
      </c>
      <c r="M1636">
        <v>3.3</v>
      </c>
      <c r="O1636">
        <v>32</v>
      </c>
      <c r="S1636">
        <v>1.3</v>
      </c>
      <c r="T1636">
        <v>2.5</v>
      </c>
      <c r="U1636">
        <v>6.3</v>
      </c>
      <c r="V1636">
        <v>11.9</v>
      </c>
      <c r="W1636">
        <v>683</v>
      </c>
      <c r="X1636">
        <v>50</v>
      </c>
      <c r="Y1636" t="s">
        <v>401</v>
      </c>
    </row>
    <row r="1637" spans="1:25">
      <c r="A1637" t="s">
        <v>2635</v>
      </c>
      <c r="B1637" s="2" t="str">
        <f>Hyperlink("https://www.diodes.com/datasheet/download/DMTH10H032LFVW.pdf")</f>
        <v>https://www.diodes.com/datasheet/download/DMTH10H032LFVW.pdf</v>
      </c>
      <c r="C1637" t="str">
        <f>Hyperlink("https://www.diodes.com/part/view/DMTH10H032LFVW","DMTH10H032LFVW")</f>
        <v>DMTH10H032LFVW</v>
      </c>
      <c r="D1637" t="s">
        <v>1537</v>
      </c>
      <c r="E1637" t="s">
        <v>30</v>
      </c>
      <c r="F1637" t="s">
        <v>28</v>
      </c>
      <c r="G1637" t="s">
        <v>29</v>
      </c>
      <c r="H1637" t="s">
        <v>30</v>
      </c>
      <c r="I1637">
        <v>100</v>
      </c>
      <c r="J1637">
        <v>20</v>
      </c>
      <c r="L1637">
        <v>26</v>
      </c>
      <c r="M1637">
        <v>3.8</v>
      </c>
      <c r="O1637">
        <v>30</v>
      </c>
      <c r="P1637">
        <v>50</v>
      </c>
      <c r="S1637">
        <v>1.3</v>
      </c>
      <c r="T1637">
        <v>2.5</v>
      </c>
      <c r="U1637">
        <v>6.3</v>
      </c>
      <c r="V1637">
        <v>11.9</v>
      </c>
      <c r="W1637">
        <v>683</v>
      </c>
      <c r="X1637">
        <v>50</v>
      </c>
      <c r="Y1637" t="s">
        <v>1109</v>
      </c>
    </row>
    <row r="1638" spans="1:25">
      <c r="A1638" t="s">
        <v>2636</v>
      </c>
      <c r="B1638" s="2" t="str">
        <f>Hyperlink("https://www.diodes.com/datasheet/download/DMTH10H032LFVWQ.pdf")</f>
        <v>https://www.diodes.com/datasheet/download/DMTH10H032LFVWQ.pdf</v>
      </c>
      <c r="C1638" t="str">
        <f>Hyperlink("https://www.diodes.com/part/view/DMTH10H032LFVWQ","DMTH10H032LFVWQ")</f>
        <v>DMTH10H032LFVWQ</v>
      </c>
      <c r="D1638" t="s">
        <v>1537</v>
      </c>
      <c r="E1638" t="s">
        <v>27</v>
      </c>
      <c r="F1638" t="s">
        <v>37</v>
      </c>
      <c r="G1638" t="s">
        <v>29</v>
      </c>
      <c r="H1638" t="s">
        <v>30</v>
      </c>
      <c r="I1638">
        <v>100</v>
      </c>
      <c r="J1638">
        <v>20</v>
      </c>
      <c r="L1638">
        <v>26</v>
      </c>
      <c r="M1638">
        <v>3.8</v>
      </c>
      <c r="O1638">
        <v>30</v>
      </c>
      <c r="P1638">
        <v>50</v>
      </c>
      <c r="S1638">
        <v>1.3</v>
      </c>
      <c r="T1638">
        <v>2.5</v>
      </c>
      <c r="U1638">
        <v>6.3</v>
      </c>
      <c r="V1638">
        <v>11.9</v>
      </c>
      <c r="W1638">
        <v>683</v>
      </c>
      <c r="X1638">
        <v>50</v>
      </c>
      <c r="Y1638" t="s">
        <v>1109</v>
      </c>
    </row>
    <row r="1639" spans="1:25">
      <c r="A1639" t="s">
        <v>2637</v>
      </c>
      <c r="B1639" s="2" t="str">
        <f>Hyperlink("https://www.diodes.com/datasheet/download/DMTH10H032LPDW.pdf")</f>
        <v>https://www.diodes.com/datasheet/download/DMTH10H032LPDW.pdf</v>
      </c>
      <c r="C1639" t="str">
        <f>Hyperlink("https://www.diodes.com/part/view/DMTH10H032LPDW","DMTH10H032LPDW")</f>
        <v>DMTH10H032LPDW</v>
      </c>
      <c r="D1639" t="s">
        <v>2638</v>
      </c>
      <c r="E1639" t="s">
        <v>30</v>
      </c>
      <c r="F1639" t="s">
        <v>28</v>
      </c>
      <c r="G1639" t="s">
        <v>40</v>
      </c>
      <c r="H1639" t="s">
        <v>30</v>
      </c>
      <c r="I1639">
        <v>100</v>
      </c>
      <c r="J1639">
        <v>20</v>
      </c>
      <c r="L1639">
        <v>24</v>
      </c>
      <c r="M1639">
        <v>3</v>
      </c>
      <c r="N1639">
        <v>37</v>
      </c>
      <c r="O1639">
        <v>32</v>
      </c>
      <c r="P1639">
        <v>50</v>
      </c>
      <c r="S1639">
        <v>1.3</v>
      </c>
      <c r="T1639">
        <v>2.5</v>
      </c>
      <c r="U1639">
        <v>6.3</v>
      </c>
      <c r="V1639">
        <v>11.9</v>
      </c>
      <c r="W1639">
        <v>683</v>
      </c>
      <c r="X1639">
        <v>50</v>
      </c>
      <c r="Y1639" t="s">
        <v>168</v>
      </c>
    </row>
    <row r="1640" spans="1:25">
      <c r="A1640" t="s">
        <v>2639</v>
      </c>
      <c r="B1640" s="2" t="str">
        <f>Hyperlink("https://www.diodes.com/datasheet/download/DMTH10H032LPDWQ.pdf")</f>
        <v>https://www.diodes.com/datasheet/download/DMTH10H032LPDWQ.pdf</v>
      </c>
      <c r="C1640" t="str">
        <f>Hyperlink("https://www.diodes.com/part/view/DMTH10H032LPDWQ","DMTH10H032LPDWQ")</f>
        <v>DMTH10H032LPDWQ</v>
      </c>
      <c r="D1640" t="s">
        <v>2640</v>
      </c>
      <c r="E1640" t="s">
        <v>27</v>
      </c>
      <c r="F1640" t="s">
        <v>37</v>
      </c>
      <c r="G1640" t="s">
        <v>40</v>
      </c>
      <c r="H1640" t="s">
        <v>30</v>
      </c>
      <c r="I1640">
        <v>100</v>
      </c>
      <c r="J1640">
        <v>20</v>
      </c>
      <c r="L1640">
        <v>24</v>
      </c>
      <c r="M1640">
        <v>3</v>
      </c>
      <c r="N1640">
        <v>37</v>
      </c>
      <c r="O1640">
        <v>32</v>
      </c>
      <c r="P1640">
        <v>50</v>
      </c>
      <c r="S1640">
        <v>1.3</v>
      </c>
      <c r="T1640">
        <v>2.5</v>
      </c>
      <c r="U1640">
        <v>6.3</v>
      </c>
      <c r="V1640">
        <v>11.9</v>
      </c>
      <c r="W1640">
        <v>683</v>
      </c>
      <c r="X1640">
        <v>50</v>
      </c>
      <c r="Y1640" t="s">
        <v>168</v>
      </c>
    </row>
    <row r="1641" spans="1:25">
      <c r="A1641" t="s">
        <v>2641</v>
      </c>
      <c r="B1641" s="2" t="str">
        <f>Hyperlink("https://www.diodes.com/datasheet/download/DMTH10H032LPSW.pdf")</f>
        <v>https://www.diodes.com/datasheet/download/DMTH10H032LPSW.pdf</v>
      </c>
      <c r="C1641" t="str">
        <f>Hyperlink("https://www.diodes.com/part/view/DMTH10H032LPSW","DMTH10H032LPSW")</f>
        <v>DMTH10H032LPSW</v>
      </c>
      <c r="D1641" t="s">
        <v>2625</v>
      </c>
      <c r="E1641" t="s">
        <v>27</v>
      </c>
      <c r="F1641" t="s">
        <v>28</v>
      </c>
      <c r="G1641" t="s">
        <v>29</v>
      </c>
      <c r="H1641" t="s">
        <v>30</v>
      </c>
      <c r="I1641">
        <v>100</v>
      </c>
      <c r="J1641">
        <v>20</v>
      </c>
      <c r="L1641">
        <v>33</v>
      </c>
      <c r="M1641">
        <v>3.4</v>
      </c>
      <c r="N1641">
        <v>68</v>
      </c>
      <c r="O1641">
        <v>32</v>
      </c>
      <c r="P1641">
        <v>50</v>
      </c>
      <c r="S1641">
        <v>1.3</v>
      </c>
      <c r="T1641">
        <v>2.5</v>
      </c>
      <c r="U1641">
        <v>6.3</v>
      </c>
      <c r="V1641">
        <v>11.9</v>
      </c>
      <c r="W1641">
        <v>683</v>
      </c>
      <c r="X1641">
        <v>50</v>
      </c>
      <c r="Y1641" t="s">
        <v>907</v>
      </c>
    </row>
    <row r="1642" spans="1:25">
      <c r="A1642" t="s">
        <v>2642</v>
      </c>
      <c r="B1642" s="2" t="str">
        <f>Hyperlink("https://www.diodes.com/datasheet/download/DMTH10H032LPSWQ.pdf")</f>
        <v>https://www.diodes.com/datasheet/download/DMTH10H032LPSWQ.pdf</v>
      </c>
      <c r="C1642" t="str">
        <f>Hyperlink("https://www.diodes.com/part/view/DMTH10H032LPSWQ","DMTH10H032LPSWQ")</f>
        <v>DMTH10H032LPSWQ</v>
      </c>
      <c r="D1642" t="s">
        <v>2625</v>
      </c>
      <c r="E1642" t="s">
        <v>27</v>
      </c>
      <c r="F1642" t="s">
        <v>37</v>
      </c>
      <c r="G1642" t="s">
        <v>29</v>
      </c>
      <c r="H1642" t="s">
        <v>30</v>
      </c>
      <c r="I1642">
        <v>100</v>
      </c>
      <c r="J1642">
        <v>20</v>
      </c>
      <c r="L1642">
        <v>33</v>
      </c>
      <c r="M1642">
        <v>3.4</v>
      </c>
      <c r="N1642">
        <v>68</v>
      </c>
      <c r="O1642">
        <v>32</v>
      </c>
      <c r="P1642">
        <v>50</v>
      </c>
      <c r="S1642">
        <v>1.3</v>
      </c>
      <c r="T1642">
        <v>2.5</v>
      </c>
      <c r="U1642">
        <v>6.3</v>
      </c>
      <c r="V1642">
        <v>11.9</v>
      </c>
      <c r="W1642">
        <v>683</v>
      </c>
      <c r="X1642">
        <v>50</v>
      </c>
      <c r="Y1642" t="s">
        <v>907</v>
      </c>
    </row>
    <row r="1643" spans="1:25">
      <c r="A1643" t="s">
        <v>2643</v>
      </c>
      <c r="B1643" s="2" t="str">
        <f>Hyperlink("https://www.diodes.com/datasheet/download/DMTH10H032SDVW.pdf")</f>
        <v>https://www.diodes.com/datasheet/download/DMTH10H032SDVW.pdf</v>
      </c>
      <c r="C1643" t="str">
        <f>Hyperlink("https://www.diodes.com/part/view/DMTH10H032SDVW","DMTH10H032SDVW")</f>
        <v>DMTH10H032SDVW</v>
      </c>
      <c r="D1643" t="s">
        <v>2309</v>
      </c>
      <c r="E1643" t="s">
        <v>27</v>
      </c>
      <c r="F1643" t="s">
        <v>28</v>
      </c>
      <c r="G1643" t="s">
        <v>40</v>
      </c>
      <c r="H1643" t="s">
        <v>30</v>
      </c>
      <c r="I1643">
        <v>100</v>
      </c>
      <c r="J1643">
        <v>20</v>
      </c>
      <c r="K1643">
        <v>6.2</v>
      </c>
      <c r="M1643">
        <v>2.7</v>
      </c>
      <c r="O1643">
        <v>35</v>
      </c>
      <c r="S1643">
        <v>2</v>
      </c>
      <c r="T1643">
        <v>4</v>
      </c>
      <c r="U1643">
        <v>4.3</v>
      </c>
      <c r="V1643">
        <v>8</v>
      </c>
      <c r="W1643">
        <v>544</v>
      </c>
      <c r="X1643">
        <v>50</v>
      </c>
      <c r="Y1643" t="s">
        <v>401</v>
      </c>
    </row>
    <row r="1644" spans="1:25">
      <c r="A1644" t="s">
        <v>2644</v>
      </c>
      <c r="B1644" s="2" t="str">
        <f>Hyperlink("https://www.diodes.com/datasheet/download/DMTH10H032SDVWQ.pdf")</f>
        <v>https://www.diodes.com/datasheet/download/DMTH10H032SDVWQ.pdf</v>
      </c>
      <c r="C1644" t="str">
        <f>Hyperlink("https://www.diodes.com/part/view/DMTH10H032SDVWQ","DMTH10H032SDVWQ")</f>
        <v>DMTH10H032SDVWQ</v>
      </c>
      <c r="D1644" t="s">
        <v>2625</v>
      </c>
      <c r="E1644" t="s">
        <v>27</v>
      </c>
      <c r="F1644" t="s">
        <v>37</v>
      </c>
      <c r="G1644" t="s">
        <v>40</v>
      </c>
      <c r="H1644" t="s">
        <v>30</v>
      </c>
      <c r="I1644">
        <v>100</v>
      </c>
      <c r="J1644">
        <v>20</v>
      </c>
      <c r="K1644">
        <v>6.2</v>
      </c>
      <c r="M1644">
        <v>2.7</v>
      </c>
      <c r="O1644">
        <v>35</v>
      </c>
      <c r="S1644">
        <v>2</v>
      </c>
      <c r="T1644">
        <v>4</v>
      </c>
      <c r="U1644">
        <v>4.3</v>
      </c>
      <c r="V1644">
        <v>8</v>
      </c>
      <c r="W1644">
        <v>544</v>
      </c>
      <c r="X1644">
        <v>50</v>
      </c>
      <c r="Y1644" t="s">
        <v>401</v>
      </c>
    </row>
    <row r="1645" spans="1:25">
      <c r="A1645" t="s">
        <v>2645</v>
      </c>
      <c r="B1645" s="2" t="str">
        <f>Hyperlink("https://www.diodes.com/datasheet/download/DMTH10H032SPSW.pdf")</f>
        <v>https://www.diodes.com/datasheet/download/DMTH10H032SPSW.pdf</v>
      </c>
      <c r="C1645" t="str">
        <f>Hyperlink("https://www.diodes.com/part/view/DMTH10H032SPSW","DMTH10H032SPSW")</f>
        <v>DMTH10H032SPSW</v>
      </c>
      <c r="D1645" t="s">
        <v>2621</v>
      </c>
      <c r="E1645" t="s">
        <v>30</v>
      </c>
      <c r="F1645" t="s">
        <v>28</v>
      </c>
      <c r="G1645" t="s">
        <v>29</v>
      </c>
      <c r="H1645" t="s">
        <v>30</v>
      </c>
      <c r="I1645">
        <v>100</v>
      </c>
      <c r="J1645">
        <v>20</v>
      </c>
      <c r="L1645">
        <v>25</v>
      </c>
      <c r="M1645">
        <v>3.2</v>
      </c>
      <c r="N1645">
        <v>38</v>
      </c>
      <c r="O1645">
        <v>32</v>
      </c>
      <c r="S1645">
        <v>2</v>
      </c>
      <c r="T1645">
        <v>4</v>
      </c>
      <c r="U1645">
        <v>4.3</v>
      </c>
      <c r="V1645">
        <v>8</v>
      </c>
      <c r="W1645">
        <v>544</v>
      </c>
      <c r="X1645">
        <v>50</v>
      </c>
      <c r="Y1645" t="s">
        <v>1546</v>
      </c>
    </row>
    <row r="1646" spans="1:25">
      <c r="A1646" t="s">
        <v>2646</v>
      </c>
      <c r="B1646" s="2" t="str">
        <f>Hyperlink("https://www.diodes.com/datasheet/download/DMTH10H032SPSWQ.pdf")</f>
        <v>https://www.diodes.com/datasheet/download/DMTH10H032SPSWQ.pdf</v>
      </c>
      <c r="C1646" t="str">
        <f>Hyperlink("https://www.diodes.com/part/view/DMTH10H032SPSWQ","DMTH10H032SPSWQ")</f>
        <v>DMTH10H032SPSWQ</v>
      </c>
      <c r="D1646" t="s">
        <v>2621</v>
      </c>
      <c r="E1646" t="s">
        <v>27</v>
      </c>
      <c r="F1646" t="s">
        <v>37</v>
      </c>
      <c r="G1646" t="s">
        <v>29</v>
      </c>
      <c r="H1646" t="s">
        <v>30</v>
      </c>
      <c r="I1646">
        <v>100</v>
      </c>
      <c r="J1646">
        <v>20</v>
      </c>
      <c r="L1646">
        <v>25</v>
      </c>
      <c r="M1646">
        <v>3.2</v>
      </c>
      <c r="N1646">
        <v>38</v>
      </c>
      <c r="O1646">
        <v>32</v>
      </c>
      <c r="S1646">
        <v>2</v>
      </c>
      <c r="T1646">
        <v>4</v>
      </c>
      <c r="U1646">
        <v>4.3</v>
      </c>
      <c r="V1646">
        <v>8</v>
      </c>
      <c r="W1646">
        <v>544</v>
      </c>
      <c r="X1646">
        <v>50</v>
      </c>
      <c r="Y1646" t="s">
        <v>1546</v>
      </c>
    </row>
    <row r="1647" spans="1:25">
      <c r="A1647" t="s">
        <v>2647</v>
      </c>
      <c r="B1647" s="2" t="str">
        <f>Hyperlink("https://www.diodes.com/datasheet/download/DMTH10H038SPDW.pdf")</f>
        <v>https://www.diodes.com/datasheet/download/DMTH10H038SPDW.pdf</v>
      </c>
      <c r="C1647" t="str">
        <f>Hyperlink("https://www.diodes.com/part/view/DMTH10H038SPDW","DMTH10H038SPDW")</f>
        <v>DMTH10H038SPDW</v>
      </c>
      <c r="D1647" t="s">
        <v>2621</v>
      </c>
      <c r="E1647" t="s">
        <v>30</v>
      </c>
      <c r="F1647" t="s">
        <v>28</v>
      </c>
      <c r="G1647" t="s">
        <v>40</v>
      </c>
      <c r="H1647" t="s">
        <v>30</v>
      </c>
      <c r="I1647">
        <v>100</v>
      </c>
      <c r="J1647">
        <v>20</v>
      </c>
      <c r="L1647">
        <v>25</v>
      </c>
      <c r="M1647">
        <v>2.7</v>
      </c>
      <c r="N1647">
        <v>39</v>
      </c>
      <c r="O1647">
        <v>33</v>
      </c>
      <c r="S1647">
        <v>2</v>
      </c>
      <c r="T1647">
        <v>4</v>
      </c>
      <c r="U1647">
        <v>4.3</v>
      </c>
      <c r="V1647">
        <v>8</v>
      </c>
      <c r="W1647">
        <v>544</v>
      </c>
      <c r="X1647">
        <v>50</v>
      </c>
      <c r="Y1647" t="s">
        <v>907</v>
      </c>
    </row>
    <row r="1648" spans="1:25">
      <c r="A1648" t="s">
        <v>2648</v>
      </c>
      <c r="B1648" s="2" t="str">
        <f>Hyperlink("https://www.diodes.com/datasheet/download/DMTH10H038SPDWQ.pdf")</f>
        <v>https://www.diodes.com/datasheet/download/DMTH10H038SPDWQ.pdf</v>
      </c>
      <c r="C1648" t="str">
        <f>Hyperlink("https://www.diodes.com/part/view/DMTH10H038SPDWQ","DMTH10H038SPDWQ")</f>
        <v>DMTH10H038SPDWQ</v>
      </c>
      <c r="D1648" t="s">
        <v>2621</v>
      </c>
      <c r="E1648" t="s">
        <v>27</v>
      </c>
      <c r="F1648" t="s">
        <v>37</v>
      </c>
      <c r="G1648" t="s">
        <v>40</v>
      </c>
      <c r="H1648" t="s">
        <v>30</v>
      </c>
      <c r="I1648">
        <v>100</v>
      </c>
      <c r="J1648">
        <v>20</v>
      </c>
      <c r="L1648">
        <v>25</v>
      </c>
      <c r="M1648">
        <v>2.7</v>
      </c>
      <c r="N1648">
        <v>39</v>
      </c>
      <c r="O1648">
        <v>33</v>
      </c>
      <c r="S1648">
        <v>2</v>
      </c>
      <c r="T1648">
        <v>4</v>
      </c>
      <c r="U1648">
        <v>4.3</v>
      </c>
      <c r="V1648">
        <v>8</v>
      </c>
      <c r="W1648">
        <v>544</v>
      </c>
      <c r="X1648">
        <v>50</v>
      </c>
      <c r="Y1648" t="s">
        <v>907</v>
      </c>
    </row>
    <row r="1649" spans="1:25">
      <c r="A1649" t="s">
        <v>2649</v>
      </c>
      <c r="B1649" s="2" t="str">
        <f>Hyperlink("https://www.diodes.com/datasheet/download/DMTH10H071LFDFW.pdf")</f>
        <v>https://www.diodes.com/datasheet/download/DMTH10H071LFDFW.pdf</v>
      </c>
      <c r="C1649" t="str">
        <f>Hyperlink("https://www.diodes.com/part/view/DMTH10H071LFDFW","DMTH10H071LFDFW")</f>
        <v>DMTH10H071LFDFW</v>
      </c>
      <c r="D1649" t="s">
        <v>2594</v>
      </c>
      <c r="E1649" t="s">
        <v>27</v>
      </c>
      <c r="F1649" t="s">
        <v>28</v>
      </c>
      <c r="G1649" t="s">
        <v>29</v>
      </c>
      <c r="H1649" t="s">
        <v>30</v>
      </c>
      <c r="I1649">
        <v>100</v>
      </c>
      <c r="J1649">
        <v>20</v>
      </c>
      <c r="K1649">
        <v>4.6</v>
      </c>
      <c r="M1649">
        <v>3</v>
      </c>
      <c r="O1649">
        <v>68</v>
      </c>
      <c r="P1649">
        <v>116</v>
      </c>
      <c r="S1649">
        <v>1</v>
      </c>
      <c r="T1649">
        <v>3</v>
      </c>
      <c r="U1649">
        <v>3.4</v>
      </c>
      <c r="V1649">
        <v>6.4</v>
      </c>
      <c r="W1649">
        <v>296</v>
      </c>
      <c r="X1649">
        <v>50</v>
      </c>
      <c r="Y1649" t="s">
        <v>2420</v>
      </c>
    </row>
    <row r="1650" spans="1:25">
      <c r="A1650" t="s">
        <v>2650</v>
      </c>
      <c r="B1650" s="2" t="str">
        <f>Hyperlink("https://www.diodes.com/datasheet/download/DMTH10H071LFDFWQ.pdf")</f>
        <v>https://www.diodes.com/datasheet/download/DMTH10H071LFDFWQ.pdf</v>
      </c>
      <c r="C1650" t="str">
        <f>Hyperlink("https://www.diodes.com/part/view/DMTH10H071LFDFWQ","DMTH10H071LFDFWQ")</f>
        <v>DMTH10H071LFDFWQ</v>
      </c>
      <c r="D1650" t="s">
        <v>2594</v>
      </c>
      <c r="E1650" t="s">
        <v>27</v>
      </c>
      <c r="F1650" t="s">
        <v>37</v>
      </c>
      <c r="G1650" t="s">
        <v>29</v>
      </c>
      <c r="H1650" t="s">
        <v>30</v>
      </c>
      <c r="I1650">
        <v>100</v>
      </c>
      <c r="J1650">
        <v>20</v>
      </c>
      <c r="K1650">
        <v>4.6</v>
      </c>
      <c r="M1650">
        <v>3</v>
      </c>
      <c r="O1650">
        <v>68</v>
      </c>
      <c r="P1650">
        <v>116</v>
      </c>
      <c r="S1650">
        <v>1</v>
      </c>
      <c r="T1650">
        <v>3</v>
      </c>
      <c r="U1650">
        <v>3.4</v>
      </c>
      <c r="V1650">
        <v>6.4</v>
      </c>
      <c r="W1650">
        <v>296</v>
      </c>
      <c r="X1650">
        <v>50</v>
      </c>
      <c r="Y1650" t="s">
        <v>2420</v>
      </c>
    </row>
    <row r="1651" spans="1:25">
      <c r="A1651" t="s">
        <v>2651</v>
      </c>
      <c r="B1651" s="2" t="str">
        <f>Hyperlink("https://www.diodes.com/datasheet/download/DMTH10H072LPS.pdf")</f>
        <v>https://www.diodes.com/datasheet/download/DMTH10H072LPS.pdf</v>
      </c>
      <c r="C1651" t="str">
        <f>Hyperlink("https://www.diodes.com/part/view/DMTH10H072LPS","DMTH10H072LPS")</f>
        <v>DMTH10H072LPS</v>
      </c>
      <c r="D1651" t="s">
        <v>1537</v>
      </c>
      <c r="E1651" t="s">
        <v>30</v>
      </c>
      <c r="F1651" t="s">
        <v>28</v>
      </c>
      <c r="G1651" t="s">
        <v>29</v>
      </c>
      <c r="H1651" t="s">
        <v>30</v>
      </c>
      <c r="I1651">
        <v>100</v>
      </c>
      <c r="J1651">
        <v>20</v>
      </c>
      <c r="L1651">
        <v>20</v>
      </c>
      <c r="M1651">
        <v>3</v>
      </c>
      <c r="O1651">
        <v>57</v>
      </c>
      <c r="P1651">
        <v>96</v>
      </c>
      <c r="T1651">
        <v>3</v>
      </c>
      <c r="U1651">
        <v>2.8</v>
      </c>
      <c r="V1651">
        <v>5.1</v>
      </c>
      <c r="W1651">
        <v>266</v>
      </c>
      <c r="X1651">
        <v>50</v>
      </c>
      <c r="Y1651" t="s">
        <v>907</v>
      </c>
    </row>
    <row r="1652" spans="1:25">
      <c r="A1652" t="s">
        <v>2652</v>
      </c>
      <c r="B1652" s="2" t="str">
        <f>Hyperlink("https://www.diodes.com/datasheet/download/DMTH10H1M7STLW.pdf")</f>
        <v>https://www.diodes.com/datasheet/download/DMTH10H1M7STLW.pdf</v>
      </c>
      <c r="C1652" t="str">
        <f>Hyperlink("https://www.diodes.com/part/view/DMTH10H1M7STLW","DMTH10H1M7STLW")</f>
        <v>DMTH10H1M7STLW</v>
      </c>
      <c r="D1652" t="s">
        <v>2653</v>
      </c>
      <c r="E1652" t="s">
        <v>30</v>
      </c>
      <c r="F1652" t="s">
        <v>28</v>
      </c>
      <c r="G1652" t="s">
        <v>29</v>
      </c>
      <c r="H1652" t="s">
        <v>30</v>
      </c>
      <c r="I1652">
        <v>100</v>
      </c>
      <c r="J1652">
        <v>20</v>
      </c>
      <c r="L1652">
        <v>250</v>
      </c>
      <c r="M1652">
        <v>6</v>
      </c>
      <c r="N1652">
        <v>250</v>
      </c>
      <c r="O1652">
        <v>2</v>
      </c>
      <c r="T1652">
        <v>4</v>
      </c>
      <c r="V1652">
        <v>147</v>
      </c>
      <c r="W1652">
        <v>9871</v>
      </c>
      <c r="X1652">
        <v>50</v>
      </c>
      <c r="Y1652" t="s">
        <v>2654</v>
      </c>
    </row>
    <row r="1653" spans="1:25">
      <c r="A1653" t="s">
        <v>2655</v>
      </c>
      <c r="B1653" s="2" t="str">
        <f>Hyperlink("https://www.diodes.com/datasheet/download/DMTH10H1M7STLWQ.pdf")</f>
        <v>https://www.diodes.com/datasheet/download/DMTH10H1M7STLWQ.pdf</v>
      </c>
      <c r="C1653" t="str">
        <f>Hyperlink("https://www.diodes.com/part/view/DMTH10H1M7STLWQ","DMTH10H1M7STLWQ")</f>
        <v>DMTH10H1M7STLWQ</v>
      </c>
      <c r="D1653" t="s">
        <v>2656</v>
      </c>
      <c r="E1653" t="s">
        <v>27</v>
      </c>
      <c r="F1653" t="s">
        <v>37</v>
      </c>
      <c r="G1653" t="s">
        <v>29</v>
      </c>
      <c r="H1653" t="s">
        <v>30</v>
      </c>
      <c r="I1653">
        <v>100</v>
      </c>
      <c r="J1653">
        <v>20</v>
      </c>
      <c r="L1653">
        <v>250</v>
      </c>
      <c r="M1653">
        <v>6</v>
      </c>
      <c r="N1653">
        <v>250</v>
      </c>
      <c r="O1653">
        <v>2</v>
      </c>
      <c r="S1653">
        <v>2</v>
      </c>
      <c r="T1653">
        <v>4</v>
      </c>
      <c r="V1653">
        <v>147</v>
      </c>
      <c r="W1653">
        <v>9871</v>
      </c>
      <c r="X1653">
        <v>50</v>
      </c>
      <c r="Y1653" t="s">
        <v>2654</v>
      </c>
    </row>
    <row r="1654" spans="1:25">
      <c r="A1654" t="s">
        <v>2657</v>
      </c>
      <c r="B1654" s="2" t="str">
        <f>Hyperlink("https://www.diodes.com/datasheet/download/DMTH10H2M2LPSW.pdf")</f>
        <v>https://www.diodes.com/datasheet/download/DMTH10H2M2LPSW.pdf</v>
      </c>
      <c r="C1654" t="str">
        <f>Hyperlink("https://www.diodes.com/part/view/DMTH10H2M2LPSW","DMTH10H2M2LPSW")</f>
        <v>DMTH10H2M2LPSW</v>
      </c>
      <c r="D1654" t="s">
        <v>2594</v>
      </c>
      <c r="E1654" t="s">
        <v>30</v>
      </c>
      <c r="F1654" t="s">
        <v>28</v>
      </c>
      <c r="G1654" t="s">
        <v>29</v>
      </c>
      <c r="H1654" t="s">
        <v>30</v>
      </c>
      <c r="I1654">
        <v>100</v>
      </c>
      <c r="J1654">
        <v>20</v>
      </c>
      <c r="L1654">
        <v>153</v>
      </c>
      <c r="M1654">
        <v>4</v>
      </c>
      <c r="N1654">
        <v>150</v>
      </c>
      <c r="O1654">
        <v>3.2</v>
      </c>
      <c r="P1654">
        <v>4.5</v>
      </c>
      <c r="S1654">
        <v>1.3</v>
      </c>
      <c r="T1654">
        <v>2.5</v>
      </c>
      <c r="U1654">
        <v>58</v>
      </c>
      <c r="V1654">
        <v>116</v>
      </c>
      <c r="W1654">
        <v>6239</v>
      </c>
      <c r="X1654">
        <v>50</v>
      </c>
      <c r="Y1654" t="s">
        <v>1546</v>
      </c>
    </row>
    <row r="1655" spans="1:25">
      <c r="A1655" t="s">
        <v>2658</v>
      </c>
      <c r="B1655" s="2" t="str">
        <f>Hyperlink("https://www.diodes.com/datasheet/download/DMTH10H2M2LPSWQ.pdf")</f>
        <v>https://www.diodes.com/datasheet/download/DMTH10H2M2LPSWQ.pdf</v>
      </c>
      <c r="C1655" t="str">
        <f>Hyperlink("https://www.diodes.com/part/view/DMTH10H2M2LPSWQ","DMTH10H2M2LPSWQ")</f>
        <v>DMTH10H2M2LPSWQ</v>
      </c>
      <c r="D1655" t="s">
        <v>2594</v>
      </c>
      <c r="E1655" t="s">
        <v>27</v>
      </c>
      <c r="F1655" t="s">
        <v>37</v>
      </c>
      <c r="G1655" t="s">
        <v>29</v>
      </c>
      <c r="H1655" t="s">
        <v>30</v>
      </c>
      <c r="I1655">
        <v>100</v>
      </c>
      <c r="J1655">
        <v>20</v>
      </c>
      <c r="L1655">
        <v>153</v>
      </c>
      <c r="M1655">
        <v>4</v>
      </c>
      <c r="N1655">
        <v>150</v>
      </c>
      <c r="O1655">
        <v>3.2</v>
      </c>
      <c r="P1655">
        <v>4.5</v>
      </c>
      <c r="S1655">
        <v>1.3</v>
      </c>
      <c r="T1655">
        <v>2.5</v>
      </c>
      <c r="U1655">
        <v>58</v>
      </c>
      <c r="V1655">
        <v>116</v>
      </c>
      <c r="W1655">
        <v>6239</v>
      </c>
      <c r="X1655">
        <v>50</v>
      </c>
      <c r="Y1655" t="s">
        <v>1546</v>
      </c>
    </row>
    <row r="1656" spans="1:25">
      <c r="A1656" t="s">
        <v>2659</v>
      </c>
      <c r="B1656" s="2" t="str">
        <f>Hyperlink("https://www.diodes.com/datasheet/download/DMTH10H2M5STLW.pdf")</f>
        <v>https://www.diodes.com/datasheet/download/DMTH10H2M5STLW.pdf</v>
      </c>
      <c r="C1656" t="str">
        <f>Hyperlink("https://www.diodes.com/part/view/DMTH10H2M5STLW","DMTH10H2M5STLW")</f>
        <v>DMTH10H2M5STLW</v>
      </c>
      <c r="D1656" t="s">
        <v>2653</v>
      </c>
      <c r="E1656" t="s">
        <v>30</v>
      </c>
      <c r="F1656" t="s">
        <v>28</v>
      </c>
      <c r="G1656" t="s">
        <v>29</v>
      </c>
      <c r="H1656" t="s">
        <v>30</v>
      </c>
      <c r="I1656">
        <v>100</v>
      </c>
      <c r="J1656">
        <v>20</v>
      </c>
      <c r="L1656">
        <v>248</v>
      </c>
      <c r="M1656">
        <v>5.8</v>
      </c>
      <c r="N1656">
        <v>230.8</v>
      </c>
      <c r="O1656">
        <v>2.5</v>
      </c>
      <c r="T1656">
        <v>4</v>
      </c>
      <c r="V1656">
        <v>124.4</v>
      </c>
      <c r="W1656">
        <v>8450</v>
      </c>
      <c r="X1656">
        <v>50</v>
      </c>
      <c r="Y1656" t="s">
        <v>2654</v>
      </c>
    </row>
    <row r="1657" spans="1:25">
      <c r="A1657" t="s">
        <v>2660</v>
      </c>
      <c r="B1657" s="2" t="str">
        <f>Hyperlink("https://www.diodes.com/datasheet/download/DMTH10H2M5STLWQ.pdf")</f>
        <v>https://www.diodes.com/datasheet/download/DMTH10H2M5STLWQ.pdf</v>
      </c>
      <c r="C1657" t="str">
        <f>Hyperlink("https://www.diodes.com/part/view/DMTH10H2M5STLWQ","DMTH10H2M5STLWQ")</f>
        <v>DMTH10H2M5STLWQ</v>
      </c>
      <c r="D1657" t="s">
        <v>2656</v>
      </c>
      <c r="E1657" t="s">
        <v>27</v>
      </c>
      <c r="F1657" t="s">
        <v>37</v>
      </c>
      <c r="G1657" t="s">
        <v>29</v>
      </c>
      <c r="H1657" t="s">
        <v>30</v>
      </c>
      <c r="I1657">
        <v>100</v>
      </c>
      <c r="J1657">
        <v>20</v>
      </c>
      <c r="L1657">
        <v>248</v>
      </c>
      <c r="M1657">
        <v>5.8</v>
      </c>
      <c r="N1657">
        <v>230.8</v>
      </c>
      <c r="O1657">
        <v>2.5</v>
      </c>
      <c r="T1657">
        <v>4</v>
      </c>
      <c r="V1657">
        <v>124.4</v>
      </c>
      <c r="W1657">
        <v>8450</v>
      </c>
      <c r="X1657">
        <v>50</v>
      </c>
      <c r="Y1657" t="s">
        <v>2654</v>
      </c>
    </row>
    <row r="1658" spans="1:25">
      <c r="A1658" t="s">
        <v>2661</v>
      </c>
      <c r="B1658" s="2" t="str">
        <f>Hyperlink("https://www.diodes.com/datasheet/download/DMTH10H4M5LPS.pdf")</f>
        <v>https://www.diodes.com/datasheet/download/DMTH10H4M5LPS.pdf</v>
      </c>
      <c r="C1658" t="str">
        <f>Hyperlink("https://www.diodes.com/part/view/DMTH10H4M5LPS","DMTH10H4M5LPS")</f>
        <v>DMTH10H4M5LPS</v>
      </c>
      <c r="D1658" t="s">
        <v>759</v>
      </c>
      <c r="E1658" t="s">
        <v>30</v>
      </c>
      <c r="F1658" t="s">
        <v>28</v>
      </c>
      <c r="G1658" t="s">
        <v>29</v>
      </c>
      <c r="H1658" t="s">
        <v>30</v>
      </c>
      <c r="I1658">
        <v>100</v>
      </c>
      <c r="J1658">
        <v>20</v>
      </c>
      <c r="K1658">
        <v>20</v>
      </c>
      <c r="L1658">
        <v>100</v>
      </c>
      <c r="M1658">
        <v>2.7</v>
      </c>
      <c r="N1658">
        <v>136</v>
      </c>
      <c r="O1658">
        <v>4.3</v>
      </c>
      <c r="P1658">
        <v>6.2</v>
      </c>
      <c r="T1658">
        <v>2.5</v>
      </c>
      <c r="V1658">
        <v>80</v>
      </c>
      <c r="W1658">
        <v>4843</v>
      </c>
      <c r="X1658">
        <v>50</v>
      </c>
      <c r="Y1658" t="s">
        <v>907</v>
      </c>
    </row>
    <row r="1659" spans="1:25">
      <c r="A1659" t="s">
        <v>2662</v>
      </c>
      <c r="B1659" s="2" t="str">
        <f>Hyperlink("https://www.diodes.com/datasheet/download/DMTH10H4M5LPSW.pdf")</f>
        <v>https://www.diodes.com/datasheet/download/DMTH10H4M5LPSW.pdf</v>
      </c>
      <c r="C1659" t="str">
        <f>Hyperlink("https://www.diodes.com/part/view/DMTH10H4M5LPSW","DMTH10H4M5LPSW")</f>
        <v>DMTH10H4M5LPSW</v>
      </c>
      <c r="D1659" t="s">
        <v>2621</v>
      </c>
      <c r="E1659" t="s">
        <v>30</v>
      </c>
      <c r="F1659" t="s">
        <v>28</v>
      </c>
      <c r="G1659" t="s">
        <v>29</v>
      </c>
      <c r="H1659" t="s">
        <v>30</v>
      </c>
      <c r="I1659">
        <v>100</v>
      </c>
      <c r="J1659">
        <v>20</v>
      </c>
      <c r="L1659">
        <v>107</v>
      </c>
      <c r="M1659">
        <v>4.7</v>
      </c>
      <c r="N1659">
        <v>136</v>
      </c>
      <c r="O1659">
        <v>4.9</v>
      </c>
      <c r="P1659">
        <v>6.7</v>
      </c>
      <c r="S1659">
        <v>1.3</v>
      </c>
      <c r="T1659">
        <v>2.5</v>
      </c>
      <c r="V1659">
        <v>80</v>
      </c>
      <c r="W1659">
        <v>4843</v>
      </c>
      <c r="X1659">
        <v>50</v>
      </c>
      <c r="Y1659" t="s">
        <v>1546</v>
      </c>
    </row>
    <row r="1660" spans="1:25">
      <c r="A1660" t="s">
        <v>2663</v>
      </c>
      <c r="B1660" s="2" t="str">
        <f>Hyperlink("https://www.diodes.com/datasheet/download/DMTH10H4M5LPSWQ.pdf")</f>
        <v>https://www.diodes.com/datasheet/download/DMTH10H4M5LPSWQ.pdf</v>
      </c>
      <c r="C1660" t="str">
        <f>Hyperlink("https://www.diodes.com/part/view/DMTH10H4M5LPSWQ","DMTH10H4M5LPSWQ")</f>
        <v>DMTH10H4M5LPSWQ</v>
      </c>
      <c r="D1660" t="s">
        <v>2621</v>
      </c>
      <c r="E1660" t="s">
        <v>27</v>
      </c>
      <c r="F1660" t="s">
        <v>37</v>
      </c>
      <c r="G1660" t="s">
        <v>29</v>
      </c>
      <c r="H1660" t="s">
        <v>30</v>
      </c>
      <c r="I1660">
        <v>100</v>
      </c>
      <c r="J1660">
        <v>20</v>
      </c>
      <c r="L1660">
        <v>107</v>
      </c>
      <c r="M1660">
        <v>4.7</v>
      </c>
      <c r="N1660">
        <v>136</v>
      </c>
      <c r="O1660">
        <v>4.9</v>
      </c>
      <c r="P1660">
        <v>6.7</v>
      </c>
      <c r="S1660">
        <v>1.3</v>
      </c>
      <c r="T1660">
        <v>2.5</v>
      </c>
      <c r="V1660">
        <v>80</v>
      </c>
      <c r="W1660">
        <v>4843</v>
      </c>
      <c r="X1660">
        <v>50</v>
      </c>
      <c r="Y1660" t="s">
        <v>1546</v>
      </c>
    </row>
    <row r="1661" spans="1:25">
      <c r="A1661" t="s">
        <v>2664</v>
      </c>
      <c r="B1661" s="2" t="str">
        <f>Hyperlink("https://www.diodes.com/datasheet/download/DMTH10H4M6SPS.pdf")</f>
        <v>https://www.diodes.com/datasheet/download/DMTH10H4M6SPS.pdf</v>
      </c>
      <c r="C1661" t="str">
        <f>Hyperlink("https://www.diodes.com/part/view/DMTH10H4M6SPS","DMTH10H4M6SPS")</f>
        <v>DMTH10H4M6SPS</v>
      </c>
      <c r="D1661" t="s">
        <v>1537</v>
      </c>
      <c r="E1661" t="s">
        <v>27</v>
      </c>
      <c r="F1661" t="s">
        <v>28</v>
      </c>
      <c r="G1661" t="s">
        <v>29</v>
      </c>
      <c r="H1661" t="s">
        <v>30</v>
      </c>
      <c r="I1661">
        <v>100</v>
      </c>
      <c r="J1661">
        <v>20</v>
      </c>
      <c r="K1661">
        <v>17</v>
      </c>
      <c r="L1661">
        <v>118.8</v>
      </c>
      <c r="M1661">
        <v>2.7</v>
      </c>
      <c r="N1661">
        <v>136</v>
      </c>
      <c r="O1661">
        <v>4.6</v>
      </c>
      <c r="T1661">
        <v>4</v>
      </c>
      <c r="V1661">
        <v>66</v>
      </c>
      <c r="W1661">
        <v>4327</v>
      </c>
      <c r="X1661">
        <v>50</v>
      </c>
      <c r="Y1661" t="s">
        <v>907</v>
      </c>
    </row>
    <row r="1662" spans="1:25">
      <c r="A1662" t="s">
        <v>2665</v>
      </c>
      <c r="B1662" s="2" t="str">
        <f>Hyperlink("https://www.diodes.com/datasheet/download/DMTH10H4M6SPSW.pdf")</f>
        <v>https://www.diodes.com/datasheet/download/DMTH10H4M6SPSW.pdf</v>
      </c>
      <c r="C1662" t="str">
        <f>Hyperlink("https://www.diodes.com/part/view/DMTH10H4M6SPSW","DMTH10H4M6SPSW")</f>
        <v>DMTH10H4M6SPSW</v>
      </c>
      <c r="D1662" t="s">
        <v>2594</v>
      </c>
      <c r="E1662" t="s">
        <v>27</v>
      </c>
      <c r="F1662" t="s">
        <v>28</v>
      </c>
      <c r="G1662" t="s">
        <v>29</v>
      </c>
      <c r="H1662" t="s">
        <v>30</v>
      </c>
      <c r="I1662">
        <v>100</v>
      </c>
      <c r="J1662">
        <v>20</v>
      </c>
      <c r="K1662">
        <v>21</v>
      </c>
      <c r="L1662">
        <v>115</v>
      </c>
      <c r="M1662">
        <v>4.7</v>
      </c>
      <c r="N1662">
        <v>136</v>
      </c>
      <c r="O1662">
        <v>4.9</v>
      </c>
      <c r="S1662">
        <v>2</v>
      </c>
      <c r="T1662">
        <v>4</v>
      </c>
      <c r="V1662">
        <v>66</v>
      </c>
      <c r="W1662">
        <v>4327</v>
      </c>
      <c r="X1662">
        <v>50</v>
      </c>
      <c r="Y1662" t="s">
        <v>1546</v>
      </c>
    </row>
    <row r="1663" spans="1:25">
      <c r="A1663" t="s">
        <v>2666</v>
      </c>
      <c r="B1663" s="2" t="str">
        <f>Hyperlink("https://www.diodes.com/datasheet/download/DMTH10H4M6SPSWQ.pdf")</f>
        <v>https://www.diodes.com/datasheet/download/DMTH10H4M6SPSWQ.pdf</v>
      </c>
      <c r="C1663" t="str">
        <f>Hyperlink("https://www.diodes.com/part/view/DMTH10H4M6SPSWQ","DMTH10H4M6SPSWQ")</f>
        <v>DMTH10H4M6SPSWQ</v>
      </c>
      <c r="D1663" t="s">
        <v>2594</v>
      </c>
      <c r="E1663" t="s">
        <v>27</v>
      </c>
      <c r="F1663" t="s">
        <v>37</v>
      </c>
      <c r="G1663" t="s">
        <v>29</v>
      </c>
      <c r="H1663" t="s">
        <v>30</v>
      </c>
      <c r="I1663">
        <v>100</v>
      </c>
      <c r="J1663">
        <v>20</v>
      </c>
      <c r="K1663">
        <v>21</v>
      </c>
      <c r="L1663">
        <v>115</v>
      </c>
      <c r="M1663">
        <v>4.7</v>
      </c>
      <c r="N1663">
        <v>136</v>
      </c>
      <c r="O1663">
        <v>4.9</v>
      </c>
      <c r="S1663">
        <v>2</v>
      </c>
      <c r="T1663">
        <v>4</v>
      </c>
      <c r="V1663">
        <v>66</v>
      </c>
      <c r="W1663">
        <v>4327</v>
      </c>
      <c r="X1663">
        <v>50</v>
      </c>
      <c r="Y1663" t="s">
        <v>1546</v>
      </c>
    </row>
    <row r="1664" spans="1:25">
      <c r="A1664" t="s">
        <v>2667</v>
      </c>
      <c r="B1664" s="2" t="str">
        <f>Hyperlink("https://www.diodes.com/datasheet/download/DMTH12H007SK3.pdf")</f>
        <v>https://www.diodes.com/datasheet/download/DMTH12H007SK3.pdf</v>
      </c>
      <c r="C1664" t="str">
        <f>Hyperlink("https://www.diodes.com/part/view/DMTH12H007SK3","DMTH12H007SK3")</f>
        <v>DMTH12H007SK3</v>
      </c>
      <c r="D1664" t="s">
        <v>2668</v>
      </c>
      <c r="E1664" t="s">
        <v>30</v>
      </c>
      <c r="F1664" t="s">
        <v>28</v>
      </c>
      <c r="G1664" t="s">
        <v>29</v>
      </c>
      <c r="H1664" t="s">
        <v>30</v>
      </c>
      <c r="I1664">
        <v>120</v>
      </c>
      <c r="J1664">
        <v>20</v>
      </c>
      <c r="L1664">
        <v>86</v>
      </c>
      <c r="M1664">
        <v>75</v>
      </c>
      <c r="O1664">
        <v>8.9</v>
      </c>
      <c r="S1664">
        <v>2</v>
      </c>
      <c r="T1664">
        <v>4</v>
      </c>
      <c r="V1664">
        <v>44</v>
      </c>
      <c r="W1664">
        <v>3142</v>
      </c>
      <c r="X1664">
        <v>60</v>
      </c>
      <c r="Y1664" t="s">
        <v>681</v>
      </c>
    </row>
    <row r="1665" spans="1:25">
      <c r="A1665" t="s">
        <v>2669</v>
      </c>
      <c r="B1665" s="2" t="str">
        <f>Hyperlink("https://www.diodes.com/datasheet/download/DMTH12H007SPS.pdf")</f>
        <v>https://www.diodes.com/datasheet/download/DMTH12H007SPS.pdf</v>
      </c>
      <c r="C1665" t="str">
        <f>Hyperlink("https://www.diodes.com/part/view/DMTH12H007SPS","DMTH12H007SPS")</f>
        <v>DMTH12H007SPS</v>
      </c>
      <c r="D1665" t="s">
        <v>2670</v>
      </c>
      <c r="E1665" t="s">
        <v>30</v>
      </c>
      <c r="F1665" t="s">
        <v>28</v>
      </c>
      <c r="G1665" t="s">
        <v>29</v>
      </c>
      <c r="H1665" t="s">
        <v>30</v>
      </c>
      <c r="I1665">
        <v>120</v>
      </c>
      <c r="J1665">
        <v>20</v>
      </c>
      <c r="L1665">
        <v>84</v>
      </c>
      <c r="M1665">
        <v>3.5</v>
      </c>
      <c r="N1665">
        <v>125</v>
      </c>
      <c r="O1665">
        <v>8.9</v>
      </c>
      <c r="T1665">
        <v>4</v>
      </c>
      <c r="V1665">
        <v>44</v>
      </c>
      <c r="W1665">
        <v>3142</v>
      </c>
      <c r="X1665">
        <v>60</v>
      </c>
      <c r="Y1665" t="s">
        <v>907</v>
      </c>
    </row>
    <row r="1666" spans="1:25">
      <c r="A1666" t="s">
        <v>2671</v>
      </c>
      <c r="B1666" s="2" t="str">
        <f>Hyperlink("https://www.diodes.com/datasheet/download/DMTH12H007SPSW.pdf")</f>
        <v>https://www.diodes.com/datasheet/download/DMTH12H007SPSW.pdf</v>
      </c>
      <c r="C1666" t="str">
        <f>Hyperlink("https://www.diodes.com/part/view/DMTH12H007SPSW","DMTH12H007SPSW")</f>
        <v>DMTH12H007SPSW</v>
      </c>
      <c r="D1666" t="s">
        <v>2670</v>
      </c>
      <c r="E1666" t="s">
        <v>27</v>
      </c>
      <c r="F1666" t="s">
        <v>28</v>
      </c>
      <c r="G1666" t="s">
        <v>29</v>
      </c>
      <c r="H1666" t="s">
        <v>30</v>
      </c>
      <c r="I1666">
        <v>120</v>
      </c>
      <c r="J1666">
        <v>20</v>
      </c>
      <c r="L1666">
        <v>84</v>
      </c>
      <c r="M1666">
        <v>3.5</v>
      </c>
      <c r="N1666">
        <v>125</v>
      </c>
      <c r="O1666">
        <v>8.9</v>
      </c>
      <c r="S1666">
        <v>2</v>
      </c>
      <c r="T1666">
        <v>4</v>
      </c>
      <c r="V1666">
        <v>44</v>
      </c>
      <c r="W1666">
        <v>3142</v>
      </c>
      <c r="X1666">
        <v>60</v>
      </c>
      <c r="Y1666" t="s">
        <v>1546</v>
      </c>
    </row>
    <row r="1667" spans="1:25">
      <c r="A1667" t="s">
        <v>2672</v>
      </c>
      <c r="B1667" s="2" t="str">
        <f>Hyperlink("https://www.diodes.com/datasheet/download/DMTH12H007SPSWQ.pdf")</f>
        <v>https://www.diodes.com/datasheet/download/DMTH12H007SPSWQ.pdf</v>
      </c>
      <c r="C1667" t="str">
        <f>Hyperlink("https://www.diodes.com/part/view/DMTH12H007SPSWQ","DMTH12H007SPSWQ")</f>
        <v>DMTH12H007SPSWQ</v>
      </c>
      <c r="D1667" t="s">
        <v>2670</v>
      </c>
      <c r="E1667" t="s">
        <v>27</v>
      </c>
      <c r="F1667" t="s">
        <v>37</v>
      </c>
      <c r="G1667" t="s">
        <v>29</v>
      </c>
      <c r="H1667" t="s">
        <v>30</v>
      </c>
      <c r="I1667">
        <v>120</v>
      </c>
      <c r="J1667">
        <v>20</v>
      </c>
      <c r="L1667">
        <v>84</v>
      </c>
      <c r="M1667">
        <v>3.5</v>
      </c>
      <c r="N1667">
        <v>125</v>
      </c>
      <c r="O1667">
        <v>8.9</v>
      </c>
      <c r="S1667">
        <v>2</v>
      </c>
      <c r="T1667">
        <v>4</v>
      </c>
      <c r="V1667">
        <v>44</v>
      </c>
      <c r="W1667">
        <v>3142</v>
      </c>
      <c r="X1667">
        <v>60</v>
      </c>
      <c r="Y1667" t="s">
        <v>1546</v>
      </c>
    </row>
    <row r="1668" spans="1:25">
      <c r="A1668" t="s">
        <v>2673</v>
      </c>
      <c r="B1668" s="2" t="str">
        <f>Hyperlink("https://www.diodes.com/datasheet/download/DMTH15H017LPSW.pdf")</f>
        <v>https://www.diodes.com/datasheet/download/DMTH15H017LPSW.pdf</v>
      </c>
      <c r="C1668" t="str">
        <f>Hyperlink("https://www.diodes.com/part/view/DMTH15H017LPSW","DMTH15H017LPSW")</f>
        <v>DMTH15H017LPSW</v>
      </c>
      <c r="D1668" t="s">
        <v>2674</v>
      </c>
      <c r="E1668" t="s">
        <v>27</v>
      </c>
      <c r="F1668" t="s">
        <v>28</v>
      </c>
      <c r="G1668" t="s">
        <v>29</v>
      </c>
      <c r="H1668" t="s">
        <v>30</v>
      </c>
      <c r="I1668">
        <v>150</v>
      </c>
      <c r="J1668">
        <v>20</v>
      </c>
      <c r="K1668">
        <v>8</v>
      </c>
      <c r="L1668">
        <v>50</v>
      </c>
      <c r="M1668">
        <v>2.8</v>
      </c>
      <c r="N1668">
        <v>107</v>
      </c>
      <c r="O1668">
        <v>17.5</v>
      </c>
      <c r="P1668">
        <v>25.5</v>
      </c>
      <c r="S1668">
        <v>1.3</v>
      </c>
      <c r="T1668">
        <v>2.6</v>
      </c>
      <c r="V1668">
        <v>50</v>
      </c>
      <c r="W1668">
        <v>3369</v>
      </c>
      <c r="X1668">
        <v>75</v>
      </c>
      <c r="Y1668" t="s">
        <v>1546</v>
      </c>
    </row>
    <row r="1669" spans="1:25">
      <c r="A1669" t="s">
        <v>2675</v>
      </c>
      <c r="B1669" s="2" t="str">
        <f>Hyperlink("https://www.diodes.com/datasheet/download/DMTH15H017LPSWQ.pdf")</f>
        <v>https://www.diodes.com/datasheet/download/DMTH15H017LPSWQ.pdf</v>
      </c>
      <c r="C1669" t="str">
        <f>Hyperlink("https://www.diodes.com/part/view/DMTH15H017LPSWQ","DMTH15H017LPSWQ")</f>
        <v>DMTH15H017LPSWQ</v>
      </c>
      <c r="D1669" t="s">
        <v>2676</v>
      </c>
      <c r="E1669" t="s">
        <v>27</v>
      </c>
      <c r="F1669" t="s">
        <v>37</v>
      </c>
      <c r="G1669" t="s">
        <v>29</v>
      </c>
      <c r="H1669" t="s">
        <v>30</v>
      </c>
      <c r="I1669">
        <v>150</v>
      </c>
      <c r="J1669">
        <v>20</v>
      </c>
      <c r="K1669">
        <v>8</v>
      </c>
      <c r="L1669">
        <v>50</v>
      </c>
      <c r="M1669">
        <v>2.8</v>
      </c>
      <c r="N1669">
        <v>107</v>
      </c>
      <c r="O1669">
        <v>17.5</v>
      </c>
      <c r="P1669">
        <v>25.5</v>
      </c>
      <c r="S1669">
        <v>1.3</v>
      </c>
      <c r="T1669">
        <v>2.6</v>
      </c>
      <c r="V1669">
        <v>50</v>
      </c>
      <c r="W1669">
        <v>3369</v>
      </c>
      <c r="X1669">
        <v>75</v>
      </c>
      <c r="Y1669" t="s">
        <v>1546</v>
      </c>
    </row>
    <row r="1670" spans="1:25">
      <c r="A1670" t="s">
        <v>2677</v>
      </c>
      <c r="B1670" s="2" t="str">
        <f>Hyperlink("https://www.diodes.com/datasheet/download/DMTH15H017SPS.pdf")</f>
        <v>https://www.diodes.com/datasheet/download/DMTH15H017SPS.pdf</v>
      </c>
      <c r="C1670" t="str">
        <f>Hyperlink("https://www.diodes.com/part/view/DMTH15H017SPS","DMTH15H017SPS")</f>
        <v>DMTH15H017SPS</v>
      </c>
      <c r="D1670" t="s">
        <v>2676</v>
      </c>
      <c r="E1670" t="s">
        <v>27</v>
      </c>
      <c r="F1670" t="s">
        <v>28</v>
      </c>
      <c r="G1670" t="s">
        <v>29</v>
      </c>
      <c r="H1670" t="s">
        <v>30</v>
      </c>
      <c r="I1670">
        <v>150</v>
      </c>
      <c r="J1670">
        <v>20</v>
      </c>
      <c r="K1670">
        <v>11</v>
      </c>
      <c r="L1670">
        <v>61</v>
      </c>
      <c r="M1670">
        <v>3.2</v>
      </c>
      <c r="N1670">
        <v>107</v>
      </c>
      <c r="O1670">
        <v>19</v>
      </c>
      <c r="T1670">
        <v>4</v>
      </c>
      <c r="V1670">
        <v>34</v>
      </c>
      <c r="W1670">
        <v>2344</v>
      </c>
      <c r="X1670">
        <v>75</v>
      </c>
      <c r="Y1670" t="s">
        <v>907</v>
      </c>
    </row>
    <row r="1671" spans="1:25">
      <c r="A1671" t="s">
        <v>2678</v>
      </c>
      <c r="B1671" s="2" t="str">
        <f>Hyperlink("https://www.diodes.com/datasheet/download/DMTH15H017SPSW.pdf")</f>
        <v>https://www.diodes.com/datasheet/download/DMTH15H017SPSW.pdf</v>
      </c>
      <c r="C1671" t="str">
        <f>Hyperlink("https://www.diodes.com/part/view/DMTH15H017SPSW","DMTH15H017SPSW")</f>
        <v>DMTH15H017SPSW</v>
      </c>
      <c r="D1671" t="s">
        <v>2676</v>
      </c>
      <c r="E1671" t="s">
        <v>27</v>
      </c>
      <c r="F1671" t="s">
        <v>28</v>
      </c>
      <c r="G1671" t="s">
        <v>29</v>
      </c>
      <c r="H1671" t="s">
        <v>30</v>
      </c>
      <c r="I1671">
        <v>150</v>
      </c>
      <c r="J1671">
        <v>20</v>
      </c>
      <c r="K1671">
        <v>11</v>
      </c>
      <c r="L1671">
        <v>61</v>
      </c>
      <c r="M1671">
        <v>3.2</v>
      </c>
      <c r="N1671">
        <v>107</v>
      </c>
      <c r="O1671">
        <v>19</v>
      </c>
      <c r="S1671">
        <v>2</v>
      </c>
      <c r="T1671">
        <v>4</v>
      </c>
      <c r="V1671">
        <v>34</v>
      </c>
      <c r="W1671">
        <v>2344</v>
      </c>
      <c r="X1671">
        <v>75</v>
      </c>
      <c r="Y1671" t="s">
        <v>1546</v>
      </c>
    </row>
    <row r="1672" spans="1:25">
      <c r="A1672" t="s">
        <v>2679</v>
      </c>
      <c r="B1672" s="2" t="str">
        <f>Hyperlink("https://www.diodes.com/datasheet/download/DMTH15H017SPSWQ.pdf")</f>
        <v>https://www.diodes.com/datasheet/download/DMTH15H017SPSWQ.pdf</v>
      </c>
      <c r="C1672" t="str">
        <f>Hyperlink("https://www.diodes.com/part/view/DMTH15H017SPSWQ","DMTH15H017SPSWQ")</f>
        <v>DMTH15H017SPSWQ</v>
      </c>
      <c r="D1672" t="s">
        <v>2676</v>
      </c>
      <c r="E1672" t="s">
        <v>27</v>
      </c>
      <c r="F1672" t="s">
        <v>37</v>
      </c>
      <c r="G1672" t="s">
        <v>29</v>
      </c>
      <c r="H1672" t="s">
        <v>30</v>
      </c>
      <c r="I1672">
        <v>150</v>
      </c>
      <c r="J1672">
        <v>20</v>
      </c>
      <c r="K1672">
        <v>11</v>
      </c>
      <c r="L1672">
        <v>61</v>
      </c>
      <c r="M1672">
        <v>3.2</v>
      </c>
      <c r="N1672">
        <v>107</v>
      </c>
      <c r="O1672">
        <v>19</v>
      </c>
      <c r="S1672">
        <v>2</v>
      </c>
      <c r="T1672">
        <v>4</v>
      </c>
      <c r="V1672">
        <v>34</v>
      </c>
      <c r="W1672">
        <v>2344</v>
      </c>
      <c r="X1672">
        <v>75</v>
      </c>
      <c r="Y1672" t="s">
        <v>1546</v>
      </c>
    </row>
    <row r="1673" spans="1:25">
      <c r="A1673" t="s">
        <v>2680</v>
      </c>
      <c r="B1673" s="2" t="str">
        <f>Hyperlink("https://www.diodes.com/datasheet/download/DMTH15H053SPSW.pdf")</f>
        <v>https://www.diodes.com/datasheet/download/DMTH15H053SPSW.pdf</v>
      </c>
      <c r="C1673" t="str">
        <f>Hyperlink("https://www.diodes.com/part/view/DMTH15H053SPSW","DMTH15H053SPSW")</f>
        <v>DMTH15H053SPSW</v>
      </c>
      <c r="D1673" t="s">
        <v>2681</v>
      </c>
      <c r="E1673" t="s">
        <v>27</v>
      </c>
      <c r="F1673" t="s">
        <v>28</v>
      </c>
      <c r="G1673" t="s">
        <v>29</v>
      </c>
      <c r="H1673" t="s">
        <v>30</v>
      </c>
      <c r="I1673">
        <v>150</v>
      </c>
      <c r="J1673">
        <v>20</v>
      </c>
      <c r="L1673">
        <v>25</v>
      </c>
      <c r="M1673">
        <v>4</v>
      </c>
      <c r="N1673">
        <v>107</v>
      </c>
      <c r="O1673">
        <v>66</v>
      </c>
      <c r="S1673">
        <v>2</v>
      </c>
      <c r="T1673">
        <v>4</v>
      </c>
      <c r="V1673">
        <v>11.5</v>
      </c>
      <c r="W1673">
        <v>814</v>
      </c>
      <c r="X1673">
        <v>75</v>
      </c>
      <c r="Y1673" t="s">
        <v>1546</v>
      </c>
    </row>
    <row r="1674" spans="1:25">
      <c r="A1674" t="s">
        <v>2682</v>
      </c>
      <c r="B1674" s="2" t="str">
        <f>Hyperlink("https://www.diodes.com/datasheet/download/DMTH15H053SPSWQ.pdf")</f>
        <v>https://www.diodes.com/datasheet/download/DMTH15H053SPSWQ.pdf</v>
      </c>
      <c r="C1674" t="str">
        <f>Hyperlink("https://www.diodes.com/part/view/DMTH15H053SPSWQ","DMTH15H053SPSWQ")</f>
        <v>DMTH15H053SPSWQ</v>
      </c>
      <c r="D1674" t="s">
        <v>2681</v>
      </c>
      <c r="E1674" t="s">
        <v>27</v>
      </c>
      <c r="F1674" t="s">
        <v>37</v>
      </c>
      <c r="G1674" t="s">
        <v>29</v>
      </c>
      <c r="H1674" t="s">
        <v>30</v>
      </c>
      <c r="I1674">
        <v>150</v>
      </c>
      <c r="J1674">
        <v>20</v>
      </c>
      <c r="L1674">
        <v>25</v>
      </c>
      <c r="M1674">
        <v>4</v>
      </c>
      <c r="N1674">
        <v>107</v>
      </c>
      <c r="O1674">
        <v>66</v>
      </c>
      <c r="S1674">
        <v>2</v>
      </c>
      <c r="T1674">
        <v>4</v>
      </c>
      <c r="V1674">
        <v>11.5</v>
      </c>
      <c r="W1674">
        <v>814</v>
      </c>
      <c r="X1674">
        <v>75</v>
      </c>
      <c r="Y1674" t="s">
        <v>1546</v>
      </c>
    </row>
    <row r="1675" spans="1:25">
      <c r="A1675" t="s">
        <v>2683</v>
      </c>
      <c r="B1675" s="2" t="str">
        <f>Hyperlink("https://www.diodes.com/datasheet/download/DMTH3002LK3.pdf")</f>
        <v>https://www.diodes.com/datasheet/download/DMTH3002LK3.pdf</v>
      </c>
      <c r="C1675" t="str">
        <f>Hyperlink("https://www.diodes.com/part/view/DMTH3002LK3","DMTH3002LK3")</f>
        <v>DMTH3002LK3</v>
      </c>
      <c r="D1675" t="s">
        <v>2684</v>
      </c>
      <c r="E1675" t="s">
        <v>30</v>
      </c>
      <c r="F1675" t="s">
        <v>28</v>
      </c>
      <c r="G1675" t="s">
        <v>29</v>
      </c>
      <c r="H1675" t="s">
        <v>30</v>
      </c>
      <c r="I1675">
        <v>30</v>
      </c>
      <c r="J1675">
        <v>16</v>
      </c>
      <c r="L1675">
        <v>150</v>
      </c>
      <c r="M1675">
        <v>3.1</v>
      </c>
      <c r="O1675">
        <v>2.45</v>
      </c>
      <c r="P1675">
        <v>3.5</v>
      </c>
      <c r="T1675">
        <v>2</v>
      </c>
      <c r="U1675">
        <v>30</v>
      </c>
      <c r="V1675">
        <v>69</v>
      </c>
      <c r="W1675">
        <v>4336</v>
      </c>
      <c r="X1675">
        <v>15</v>
      </c>
      <c r="Y1675" t="s">
        <v>681</v>
      </c>
    </row>
    <row r="1676" spans="1:25">
      <c r="A1676" t="s">
        <v>2685</v>
      </c>
      <c r="B1676" s="2" t="str">
        <f>Hyperlink("https://www.diodes.com/datasheet/download/DMTH3002LPS.pdf")</f>
        <v>https://www.diodes.com/datasheet/download/DMTH3002LPS.pdf</v>
      </c>
      <c r="C1676" t="str">
        <f>Hyperlink("https://www.diodes.com/part/view/DMTH3002LPS","DMTH3002LPS")</f>
        <v>DMTH3002LPS</v>
      </c>
      <c r="D1676" t="s">
        <v>2686</v>
      </c>
      <c r="E1676" t="s">
        <v>27</v>
      </c>
      <c r="F1676" t="s">
        <v>28</v>
      </c>
      <c r="G1676" t="s">
        <v>29</v>
      </c>
      <c r="H1676" t="s">
        <v>30</v>
      </c>
      <c r="I1676">
        <v>30</v>
      </c>
      <c r="J1676">
        <v>16</v>
      </c>
      <c r="L1676">
        <v>240</v>
      </c>
      <c r="M1676">
        <v>2.5</v>
      </c>
      <c r="N1676">
        <v>136</v>
      </c>
      <c r="O1676">
        <v>1.6</v>
      </c>
      <c r="P1676">
        <v>2.5</v>
      </c>
      <c r="T1676">
        <v>2</v>
      </c>
      <c r="U1676">
        <v>37</v>
      </c>
      <c r="V1676">
        <v>77</v>
      </c>
      <c r="W1676">
        <v>5000</v>
      </c>
      <c r="X1676">
        <v>15</v>
      </c>
      <c r="Y1676" t="s">
        <v>907</v>
      </c>
    </row>
    <row r="1677" spans="1:25">
      <c r="A1677" t="s">
        <v>2687</v>
      </c>
      <c r="B1677" s="2" t="str">
        <f>Hyperlink("https://www.diodes.com/datasheet/download/DMTH3004LFG.pdf")</f>
        <v>https://www.diodes.com/datasheet/download/DMTH3004LFG.pdf</v>
      </c>
      <c r="C1677" t="str">
        <f>Hyperlink("https://www.diodes.com/part/view/DMTH3004LFG","DMTH3004LFG")</f>
        <v>DMTH3004LFG</v>
      </c>
      <c r="D1677" t="s">
        <v>26</v>
      </c>
      <c r="E1677" t="s">
        <v>27</v>
      </c>
      <c r="F1677" t="s">
        <v>28</v>
      </c>
      <c r="G1677" t="s">
        <v>29</v>
      </c>
      <c r="H1677" t="s">
        <v>30</v>
      </c>
      <c r="I1677">
        <v>30</v>
      </c>
      <c r="J1677">
        <v>16</v>
      </c>
      <c r="K1677">
        <v>15</v>
      </c>
      <c r="L1677">
        <v>75</v>
      </c>
      <c r="M1677">
        <v>2.5</v>
      </c>
      <c r="N1677">
        <v>50</v>
      </c>
      <c r="O1677">
        <v>5.5</v>
      </c>
      <c r="P1677">
        <v>8.5</v>
      </c>
      <c r="T1677">
        <v>3</v>
      </c>
      <c r="U1677">
        <v>20</v>
      </c>
      <c r="V1677">
        <v>44</v>
      </c>
      <c r="W1677">
        <v>2370</v>
      </c>
      <c r="X1677">
        <v>15</v>
      </c>
      <c r="Y1677" t="s">
        <v>718</v>
      </c>
    </row>
    <row r="1678" spans="1:25">
      <c r="A1678" t="s">
        <v>2688</v>
      </c>
      <c r="B1678" s="2" t="str">
        <f>Hyperlink("https://www.diodes.com/datasheet/download/DMTH3004LFGQ.pdf")</f>
        <v>https://www.diodes.com/datasheet/download/DMTH3004LFGQ.pdf</v>
      </c>
      <c r="C1678" t="str">
        <f>Hyperlink("https://www.diodes.com/part/view/DMTH3004LFGQ","DMTH3004LFGQ")</f>
        <v>DMTH3004LFGQ</v>
      </c>
      <c r="D1678" t="s">
        <v>2684</v>
      </c>
      <c r="E1678" t="s">
        <v>27</v>
      </c>
      <c r="F1678" t="s">
        <v>37</v>
      </c>
      <c r="G1678" t="s">
        <v>29</v>
      </c>
      <c r="H1678" t="s">
        <v>30</v>
      </c>
      <c r="I1678">
        <v>30</v>
      </c>
      <c r="J1678">
        <v>16</v>
      </c>
      <c r="K1678">
        <v>15</v>
      </c>
      <c r="L1678">
        <v>75</v>
      </c>
      <c r="M1678">
        <v>2.5</v>
      </c>
      <c r="N1678">
        <v>50</v>
      </c>
      <c r="O1678">
        <v>5.5</v>
      </c>
      <c r="P1678">
        <v>8.5</v>
      </c>
      <c r="T1678">
        <v>3</v>
      </c>
      <c r="U1678">
        <v>20</v>
      </c>
      <c r="V1678">
        <v>44</v>
      </c>
      <c r="W1678">
        <v>2370</v>
      </c>
      <c r="X1678">
        <v>15</v>
      </c>
      <c r="Y1678" t="s">
        <v>718</v>
      </c>
    </row>
    <row r="1679" spans="1:25">
      <c r="A1679" t="s">
        <v>2689</v>
      </c>
      <c r="B1679" s="2" t="str">
        <f>Hyperlink("https://www.diodes.com/datasheet/download/DMTH3004LK3.pdf")</f>
        <v>https://www.diodes.com/datasheet/download/DMTH3004LK3.pdf</v>
      </c>
      <c r="C1679" t="str">
        <f>Hyperlink("https://www.diodes.com/part/view/DMTH3004LK3","DMTH3004LK3")</f>
        <v>DMTH3004LK3</v>
      </c>
      <c r="D1679" t="s">
        <v>2684</v>
      </c>
      <c r="E1679" t="s">
        <v>27</v>
      </c>
      <c r="F1679" t="s">
        <v>28</v>
      </c>
      <c r="G1679" t="s">
        <v>29</v>
      </c>
      <c r="H1679" t="s">
        <v>30</v>
      </c>
      <c r="I1679">
        <v>30</v>
      </c>
      <c r="J1679" t="s">
        <v>2370</v>
      </c>
      <c r="K1679">
        <v>21</v>
      </c>
      <c r="L1679">
        <v>75</v>
      </c>
      <c r="M1679">
        <v>3</v>
      </c>
      <c r="N1679">
        <v>107</v>
      </c>
      <c r="O1679">
        <v>4</v>
      </c>
      <c r="P1679">
        <v>7</v>
      </c>
      <c r="T1679">
        <v>3</v>
      </c>
      <c r="U1679">
        <v>20</v>
      </c>
      <c r="V1679">
        <v>44</v>
      </c>
      <c r="W1679">
        <v>2370</v>
      </c>
      <c r="X1679">
        <v>15</v>
      </c>
      <c r="Y1679" t="s">
        <v>681</v>
      </c>
    </row>
    <row r="1680" spans="1:25">
      <c r="A1680" t="s">
        <v>2690</v>
      </c>
      <c r="B1680" s="2" t="str">
        <f>Hyperlink("https://www.diodes.com/datasheet/download/DMTH3004LK3Q.pdf")</f>
        <v>https://www.diodes.com/datasheet/download/DMTH3004LK3Q.pdf</v>
      </c>
      <c r="C1680" t="str">
        <f>Hyperlink("https://www.diodes.com/part/view/DMTH3004LK3Q","DMTH3004LK3Q")</f>
        <v>DMTH3004LK3Q</v>
      </c>
      <c r="D1680" t="s">
        <v>2684</v>
      </c>
      <c r="E1680" t="s">
        <v>27</v>
      </c>
      <c r="F1680" t="s">
        <v>37</v>
      </c>
      <c r="G1680" t="s">
        <v>29</v>
      </c>
      <c r="H1680" t="s">
        <v>30</v>
      </c>
      <c r="I1680">
        <v>30</v>
      </c>
      <c r="J1680" t="s">
        <v>2370</v>
      </c>
      <c r="K1680">
        <v>21</v>
      </c>
      <c r="L1680">
        <v>75</v>
      </c>
      <c r="N1680">
        <v>107</v>
      </c>
      <c r="O1680">
        <v>4</v>
      </c>
      <c r="P1680">
        <v>7</v>
      </c>
      <c r="T1680">
        <v>3</v>
      </c>
      <c r="U1680">
        <v>20</v>
      </c>
      <c r="V1680">
        <v>44</v>
      </c>
      <c r="W1680">
        <v>2370</v>
      </c>
      <c r="X1680">
        <v>15</v>
      </c>
      <c r="Y1680" t="s">
        <v>681</v>
      </c>
    </row>
    <row r="1681" spans="1:25">
      <c r="A1681" t="s">
        <v>2691</v>
      </c>
      <c r="B1681" s="2" t="str">
        <f>Hyperlink("https://www.diodes.com/datasheet/download/DMTH3004LPS.pdf")</f>
        <v>https://www.diodes.com/datasheet/download/DMTH3004LPS.pdf</v>
      </c>
      <c r="C1681" t="str">
        <f>Hyperlink("https://www.diodes.com/part/view/DMTH3004LPS","DMTH3004LPS")</f>
        <v>DMTH3004LPS</v>
      </c>
      <c r="D1681" t="s">
        <v>2684</v>
      </c>
      <c r="E1681" t="s">
        <v>27</v>
      </c>
      <c r="F1681" t="s">
        <v>28</v>
      </c>
      <c r="G1681" t="s">
        <v>29</v>
      </c>
      <c r="H1681" t="s">
        <v>30</v>
      </c>
      <c r="I1681">
        <v>30</v>
      </c>
      <c r="J1681" t="s">
        <v>2370</v>
      </c>
      <c r="K1681">
        <v>22</v>
      </c>
      <c r="L1681">
        <v>145</v>
      </c>
      <c r="M1681">
        <v>3.2</v>
      </c>
      <c r="N1681">
        <v>136</v>
      </c>
      <c r="O1681">
        <v>3.8</v>
      </c>
      <c r="P1681">
        <v>6</v>
      </c>
      <c r="T1681">
        <v>3</v>
      </c>
      <c r="V1681">
        <v>43.7</v>
      </c>
      <c r="W1681">
        <v>2370</v>
      </c>
      <c r="X1681">
        <v>15</v>
      </c>
      <c r="Y1681" t="s">
        <v>907</v>
      </c>
    </row>
    <row r="1682" spans="1:25">
      <c r="A1682" t="s">
        <v>2692</v>
      </c>
      <c r="B1682" s="2" t="str">
        <f>Hyperlink("https://www.diodes.com/datasheet/download/DMTH3004LPSQ.pdf")</f>
        <v>https://www.diodes.com/datasheet/download/DMTH3004LPSQ.pdf</v>
      </c>
      <c r="C1682" t="str">
        <f>Hyperlink("https://www.diodes.com/part/view/DMTH3004LPSQ","DMTH3004LPSQ")</f>
        <v>DMTH3004LPSQ</v>
      </c>
      <c r="D1682" t="s">
        <v>2684</v>
      </c>
      <c r="E1682" t="s">
        <v>27</v>
      </c>
      <c r="F1682" t="s">
        <v>37</v>
      </c>
      <c r="G1682" t="s">
        <v>29</v>
      </c>
      <c r="H1682" t="s">
        <v>30</v>
      </c>
      <c r="I1682">
        <v>30</v>
      </c>
      <c r="J1682" t="s">
        <v>2370</v>
      </c>
      <c r="K1682">
        <v>22</v>
      </c>
      <c r="L1682">
        <v>145</v>
      </c>
      <c r="N1682">
        <v>136</v>
      </c>
      <c r="O1682">
        <v>3.8</v>
      </c>
      <c r="P1682">
        <v>6</v>
      </c>
      <c r="T1682">
        <v>3</v>
      </c>
      <c r="V1682">
        <v>43.7</v>
      </c>
      <c r="W1682">
        <v>2370</v>
      </c>
      <c r="X1682">
        <v>15</v>
      </c>
      <c r="Y1682" t="s">
        <v>907</v>
      </c>
    </row>
    <row r="1683" spans="1:25">
      <c r="A1683" t="s">
        <v>2693</v>
      </c>
      <c r="B1683" s="2" t="str">
        <f>Hyperlink("https://www.diodes.com/datasheet/download/DMTH31M7LPSQ.pdf")</f>
        <v>https://www.diodes.com/datasheet/download/DMTH31M7LPSQ.pdf</v>
      </c>
      <c r="C1683" t="str">
        <f>Hyperlink("https://www.diodes.com/part/view/DMTH31M7LPSQ","DMTH31M7LPSQ")</f>
        <v>DMTH31M7LPSQ</v>
      </c>
      <c r="D1683" t="s">
        <v>1550</v>
      </c>
      <c r="E1683" t="s">
        <v>27</v>
      </c>
      <c r="F1683" t="s">
        <v>37</v>
      </c>
      <c r="G1683" t="s">
        <v>29</v>
      </c>
      <c r="H1683" t="s">
        <v>30</v>
      </c>
      <c r="I1683">
        <v>30</v>
      </c>
      <c r="J1683">
        <v>16</v>
      </c>
      <c r="K1683">
        <v>30</v>
      </c>
      <c r="L1683">
        <v>100</v>
      </c>
      <c r="M1683">
        <v>2.4</v>
      </c>
      <c r="O1683">
        <v>1.7</v>
      </c>
      <c r="P1683">
        <v>2.4</v>
      </c>
      <c r="T1683">
        <v>3</v>
      </c>
      <c r="U1683">
        <v>45</v>
      </c>
      <c r="V1683">
        <v>90</v>
      </c>
      <c r="W1683">
        <v>5741</v>
      </c>
      <c r="X1683">
        <v>15</v>
      </c>
      <c r="Y1683" t="s">
        <v>907</v>
      </c>
    </row>
    <row r="1684" spans="1:25">
      <c r="A1684" t="s">
        <v>2694</v>
      </c>
      <c r="B1684" s="2" t="str">
        <f>Hyperlink("https://www.diodes.com/datasheet/download/DMTH32M5LPS.pdf")</f>
        <v>https://www.diodes.com/datasheet/download/DMTH32M5LPS.pdf</v>
      </c>
      <c r="C1684" t="str">
        <f>Hyperlink("https://www.diodes.com/part/view/DMTH32M5LPS","DMTH32M5LPS")</f>
        <v>DMTH32M5LPS</v>
      </c>
      <c r="D1684" t="s">
        <v>2684</v>
      </c>
      <c r="E1684" t="s">
        <v>27</v>
      </c>
      <c r="F1684" t="s">
        <v>28</v>
      </c>
      <c r="G1684" t="s">
        <v>29</v>
      </c>
      <c r="H1684" t="s">
        <v>30</v>
      </c>
      <c r="I1684">
        <v>30</v>
      </c>
      <c r="J1684">
        <v>16</v>
      </c>
      <c r="L1684">
        <v>170</v>
      </c>
      <c r="M1684">
        <v>3.2</v>
      </c>
      <c r="N1684">
        <v>100</v>
      </c>
      <c r="O1684">
        <v>2.2</v>
      </c>
      <c r="P1684">
        <v>3.2</v>
      </c>
      <c r="T1684">
        <v>3</v>
      </c>
      <c r="U1684">
        <v>34</v>
      </c>
      <c r="V1684">
        <v>68</v>
      </c>
      <c r="W1684">
        <v>3944</v>
      </c>
      <c r="X1684">
        <v>25</v>
      </c>
      <c r="Y1684" t="s">
        <v>907</v>
      </c>
    </row>
    <row r="1685" spans="1:25">
      <c r="A1685" t="s">
        <v>2695</v>
      </c>
      <c r="B1685" s="2" t="str">
        <f>Hyperlink("https://www.diodes.com/datasheet/download/DMTH32M5LPSQ.pdf")</f>
        <v>https://www.diodes.com/datasheet/download/DMTH32M5LPSQ.pdf</v>
      </c>
      <c r="C1685" t="str">
        <f>Hyperlink("https://www.diodes.com/part/view/DMTH32M5LPSQ","DMTH32M5LPSQ")</f>
        <v>DMTH32M5LPSQ</v>
      </c>
      <c r="D1685" t="s">
        <v>2684</v>
      </c>
      <c r="E1685" t="s">
        <v>27</v>
      </c>
      <c r="F1685" t="s">
        <v>37</v>
      </c>
      <c r="G1685" t="s">
        <v>29</v>
      </c>
      <c r="H1685" t="s">
        <v>30</v>
      </c>
      <c r="I1685">
        <v>30</v>
      </c>
      <c r="J1685">
        <v>16</v>
      </c>
      <c r="L1685">
        <v>170</v>
      </c>
      <c r="M1685">
        <v>3.2</v>
      </c>
      <c r="N1685">
        <v>100</v>
      </c>
      <c r="O1685">
        <v>2.2</v>
      </c>
      <c r="P1685">
        <v>3.2</v>
      </c>
      <c r="T1685">
        <v>3</v>
      </c>
      <c r="U1685">
        <v>34</v>
      </c>
      <c r="V1685">
        <v>68</v>
      </c>
      <c r="W1685">
        <v>3944</v>
      </c>
      <c r="X1685">
        <v>25</v>
      </c>
      <c r="Y1685" t="s">
        <v>907</v>
      </c>
    </row>
    <row r="1686" spans="1:25">
      <c r="A1686" t="s">
        <v>2696</v>
      </c>
      <c r="B1686" s="2" t="str">
        <f>Hyperlink("https://www.diodes.com/datasheet/download/DMTH3M70LPSW.pdf")</f>
        <v>https://www.diodes.com/datasheet/download/DMTH3M70LPSW.pdf</v>
      </c>
      <c r="C1686" t="str">
        <f>Hyperlink("https://www.diodes.com/part/view/DMTH3M70LPSW","DMTH3M70LPSW")</f>
        <v>DMTH3M70LPSW</v>
      </c>
      <c r="D1686" t="s">
        <v>2697</v>
      </c>
      <c r="E1686" t="s">
        <v>30</v>
      </c>
      <c r="F1686" t="s">
        <v>28</v>
      </c>
      <c r="G1686" t="s">
        <v>29</v>
      </c>
      <c r="H1686" t="s">
        <v>30</v>
      </c>
      <c r="I1686">
        <v>30</v>
      </c>
      <c r="J1686">
        <v>20</v>
      </c>
      <c r="K1686">
        <v>61</v>
      </c>
      <c r="L1686">
        <v>150</v>
      </c>
      <c r="M1686">
        <v>3.85</v>
      </c>
      <c r="O1686">
        <v>0.55</v>
      </c>
      <c r="P1686">
        <v>0.95</v>
      </c>
      <c r="S1686">
        <v>1</v>
      </c>
      <c r="T1686">
        <v>3</v>
      </c>
      <c r="U1686">
        <v>69.4</v>
      </c>
      <c r="V1686">
        <v>152.7</v>
      </c>
      <c r="W1686">
        <v>11112</v>
      </c>
      <c r="X1686">
        <v>15</v>
      </c>
      <c r="Y1686" t="s">
        <v>1546</v>
      </c>
    </row>
    <row r="1687" spans="1:25">
      <c r="A1687" t="s">
        <v>2698</v>
      </c>
      <c r="B1687" s="2" t="str">
        <f>Hyperlink("https://www.diodes.com/datasheet/download/DMTH3M70LPSWQ.pdf")</f>
        <v>https://www.diodes.com/datasheet/download/DMTH3M70LPSWQ.pdf</v>
      </c>
      <c r="C1687" t="str">
        <f>Hyperlink("https://www.diodes.com/part/view/DMTH3M70LPSWQ","DMTH3M70LPSWQ")</f>
        <v>DMTH3M70LPSWQ</v>
      </c>
      <c r="D1687" t="s">
        <v>2697</v>
      </c>
      <c r="E1687" t="s">
        <v>27</v>
      </c>
      <c r="F1687" t="s">
        <v>37</v>
      </c>
      <c r="G1687" t="s">
        <v>29</v>
      </c>
      <c r="H1687" t="s">
        <v>30</v>
      </c>
      <c r="I1687">
        <v>30</v>
      </c>
      <c r="J1687">
        <v>20</v>
      </c>
      <c r="K1687">
        <v>61</v>
      </c>
      <c r="L1687">
        <v>150</v>
      </c>
      <c r="M1687">
        <v>3.85</v>
      </c>
      <c r="O1687">
        <v>0.55</v>
      </c>
      <c r="P1687">
        <v>0.95</v>
      </c>
      <c r="S1687">
        <v>1</v>
      </c>
      <c r="T1687">
        <v>3</v>
      </c>
      <c r="U1687">
        <v>69.4</v>
      </c>
      <c r="V1687">
        <v>152.7</v>
      </c>
      <c r="W1687">
        <v>11112</v>
      </c>
      <c r="X1687">
        <v>15</v>
      </c>
      <c r="Y1687" t="s">
        <v>1546</v>
      </c>
    </row>
    <row r="1688" spans="1:25">
      <c r="A1688" t="s">
        <v>2699</v>
      </c>
      <c r="B1688" s="2" t="str">
        <f>Hyperlink("https://www.diodes.com/datasheet/download/DMTH4001STLW.pdf")</f>
        <v>https://www.diodes.com/datasheet/download/DMTH4001STLW.pdf</v>
      </c>
      <c r="C1688" t="str">
        <f>Hyperlink("https://www.diodes.com/part/view/DMTH4001STLW","DMTH4001STLW")</f>
        <v>DMTH4001STLW</v>
      </c>
      <c r="D1688" t="s">
        <v>2700</v>
      </c>
      <c r="E1688" t="s">
        <v>30</v>
      </c>
      <c r="F1688" t="s">
        <v>28</v>
      </c>
      <c r="G1688" t="s">
        <v>29</v>
      </c>
      <c r="H1688" t="s">
        <v>30</v>
      </c>
      <c r="I1688">
        <v>40</v>
      </c>
      <c r="J1688">
        <v>20</v>
      </c>
      <c r="L1688">
        <v>300</v>
      </c>
      <c r="M1688">
        <v>6</v>
      </c>
      <c r="N1688">
        <v>300</v>
      </c>
      <c r="O1688">
        <v>0.85</v>
      </c>
      <c r="S1688">
        <v>2</v>
      </c>
      <c r="T1688">
        <v>4</v>
      </c>
      <c r="V1688">
        <v>150</v>
      </c>
      <c r="W1688">
        <v>13185</v>
      </c>
      <c r="X1688">
        <v>20</v>
      </c>
      <c r="Y1688" t="s">
        <v>2654</v>
      </c>
    </row>
    <row r="1689" spans="1:25">
      <c r="A1689" t="s">
        <v>2701</v>
      </c>
      <c r="B1689" s="2" t="str">
        <f>Hyperlink("https://www.diodes.com/datasheet/download/DMTH4001STLWQ.pdf")</f>
        <v>https://www.diodes.com/datasheet/download/DMTH4001STLWQ.pdf</v>
      </c>
      <c r="C1689" t="str">
        <f>Hyperlink("https://www.diodes.com/part/view/DMTH4001STLWQ","DMTH4001STLWQ")</f>
        <v>DMTH4001STLWQ</v>
      </c>
      <c r="D1689" t="s">
        <v>2700</v>
      </c>
      <c r="E1689" t="s">
        <v>27</v>
      </c>
      <c r="F1689" t="s">
        <v>37</v>
      </c>
      <c r="G1689" t="s">
        <v>29</v>
      </c>
      <c r="H1689" t="s">
        <v>30</v>
      </c>
      <c r="I1689">
        <v>40</v>
      </c>
      <c r="J1689">
        <v>20</v>
      </c>
      <c r="L1689">
        <v>300</v>
      </c>
      <c r="M1689">
        <v>6</v>
      </c>
      <c r="N1689">
        <v>300</v>
      </c>
      <c r="O1689">
        <v>0.85</v>
      </c>
      <c r="S1689">
        <v>2</v>
      </c>
      <c r="T1689">
        <v>4</v>
      </c>
      <c r="V1689">
        <v>150</v>
      </c>
      <c r="W1689">
        <v>13185</v>
      </c>
      <c r="X1689">
        <v>20</v>
      </c>
      <c r="Y1689" t="s">
        <v>2654</v>
      </c>
    </row>
    <row r="1690" spans="1:25">
      <c r="A1690" t="s">
        <v>2702</v>
      </c>
      <c r="B1690" s="2" t="str">
        <f>Hyperlink("https://www.diodes.com/datasheet/download/DMTH4002SCTB.pdf")</f>
        <v>https://www.diodes.com/datasheet/download/DMTH4002SCTB.pdf</v>
      </c>
      <c r="C1690" t="str">
        <f>Hyperlink("https://www.diodes.com/part/view/DMTH4002SCTB","DMTH4002SCTB")</f>
        <v>DMTH4002SCTB</v>
      </c>
      <c r="D1690" t="s">
        <v>1555</v>
      </c>
      <c r="E1690" t="s">
        <v>30</v>
      </c>
      <c r="F1690" t="s">
        <v>28</v>
      </c>
      <c r="G1690" t="s">
        <v>29</v>
      </c>
      <c r="H1690" t="s">
        <v>30</v>
      </c>
      <c r="I1690">
        <v>40</v>
      </c>
      <c r="J1690">
        <v>20</v>
      </c>
      <c r="L1690">
        <v>192</v>
      </c>
      <c r="M1690">
        <v>6</v>
      </c>
      <c r="N1690">
        <v>166.7</v>
      </c>
      <c r="O1690">
        <v>3</v>
      </c>
      <c r="T1690">
        <v>4</v>
      </c>
      <c r="V1690">
        <v>77.5</v>
      </c>
      <c r="W1690">
        <v>7180</v>
      </c>
      <c r="X1690">
        <v>20</v>
      </c>
      <c r="Y1690" t="s">
        <v>1385</v>
      </c>
    </row>
    <row r="1691" spans="1:25">
      <c r="A1691" t="s">
        <v>2703</v>
      </c>
      <c r="B1691" s="2" t="str">
        <f>Hyperlink("https://www.diodes.com/datasheet/download/DMTH4002SCTBQ.pdf")</f>
        <v>https://www.diodes.com/datasheet/download/DMTH4002SCTBQ.pdf</v>
      </c>
      <c r="C1691" t="str">
        <f>Hyperlink("https://www.diodes.com/part/view/DMTH4002SCTBQ","DMTH4002SCTBQ")</f>
        <v>DMTH4002SCTBQ</v>
      </c>
      <c r="D1691" t="s">
        <v>1555</v>
      </c>
      <c r="E1691" t="s">
        <v>27</v>
      </c>
      <c r="F1691" t="s">
        <v>37</v>
      </c>
      <c r="G1691" t="s">
        <v>29</v>
      </c>
      <c r="H1691" t="s">
        <v>30</v>
      </c>
      <c r="I1691">
        <v>40</v>
      </c>
      <c r="J1691">
        <v>20</v>
      </c>
      <c r="L1691">
        <v>192</v>
      </c>
      <c r="M1691">
        <v>6</v>
      </c>
      <c r="N1691">
        <v>166.7</v>
      </c>
      <c r="O1691">
        <v>3</v>
      </c>
      <c r="T1691">
        <v>4</v>
      </c>
      <c r="V1691">
        <v>77.5</v>
      </c>
      <c r="W1691">
        <v>7180</v>
      </c>
      <c r="X1691">
        <v>20</v>
      </c>
      <c r="Y1691" t="s">
        <v>1385</v>
      </c>
    </row>
    <row r="1692" spans="1:25">
      <c r="A1692" t="s">
        <v>2704</v>
      </c>
      <c r="B1692" s="2" t="str">
        <f>Hyperlink("https://www.diodes.com/datasheet/download/DMTH4004LK3.pdf")</f>
        <v>https://www.diodes.com/datasheet/download/DMTH4004LK3.pdf</v>
      </c>
      <c r="C1692" t="str">
        <f>Hyperlink("https://www.diodes.com/part/view/DMTH4004LK3","DMTH4004LK3")</f>
        <v>DMTH4004LK3</v>
      </c>
      <c r="D1692" t="s">
        <v>1555</v>
      </c>
      <c r="E1692" t="s">
        <v>27</v>
      </c>
      <c r="F1692" t="s">
        <v>28</v>
      </c>
      <c r="G1692" t="s">
        <v>29</v>
      </c>
      <c r="H1692" t="s">
        <v>30</v>
      </c>
      <c r="I1692">
        <v>40</v>
      </c>
      <c r="J1692">
        <v>20</v>
      </c>
      <c r="L1692">
        <v>100</v>
      </c>
      <c r="M1692">
        <v>3.9</v>
      </c>
      <c r="N1692">
        <v>180</v>
      </c>
      <c r="O1692">
        <v>3</v>
      </c>
      <c r="P1692">
        <v>5</v>
      </c>
      <c r="T1692">
        <v>3</v>
      </c>
      <c r="U1692">
        <v>35</v>
      </c>
      <c r="V1692">
        <v>83</v>
      </c>
      <c r="W1692">
        <v>4450</v>
      </c>
      <c r="X1692">
        <v>25</v>
      </c>
      <c r="Y1692" t="s">
        <v>681</v>
      </c>
    </row>
    <row r="1693" spans="1:25">
      <c r="A1693" t="s">
        <v>2705</v>
      </c>
      <c r="B1693" s="2" t="str">
        <f>Hyperlink("https://www.diodes.com/datasheet/download/DMTH4004LK3Q.pdf")</f>
        <v>https://www.diodes.com/datasheet/download/DMTH4004LK3Q.pdf</v>
      </c>
      <c r="C1693" t="str">
        <f>Hyperlink("https://www.diodes.com/part/view/DMTH4004LK3Q","DMTH4004LK3Q")</f>
        <v>DMTH4004LK3Q</v>
      </c>
      <c r="D1693" t="s">
        <v>1555</v>
      </c>
      <c r="E1693" t="s">
        <v>27</v>
      </c>
      <c r="F1693" t="s">
        <v>37</v>
      </c>
      <c r="G1693" t="s">
        <v>29</v>
      </c>
      <c r="H1693" t="s">
        <v>30</v>
      </c>
      <c r="I1693">
        <v>40</v>
      </c>
      <c r="J1693">
        <v>20</v>
      </c>
      <c r="L1693">
        <v>100</v>
      </c>
      <c r="M1693">
        <v>3.9</v>
      </c>
      <c r="N1693">
        <v>180</v>
      </c>
      <c r="O1693">
        <v>3</v>
      </c>
      <c r="P1693">
        <v>5</v>
      </c>
      <c r="T1693">
        <v>3</v>
      </c>
      <c r="U1693">
        <v>35</v>
      </c>
      <c r="V1693">
        <v>83</v>
      </c>
      <c r="W1693">
        <v>4450</v>
      </c>
      <c r="X1693">
        <v>25</v>
      </c>
      <c r="Y1693" t="s">
        <v>681</v>
      </c>
    </row>
    <row r="1694" spans="1:25">
      <c r="A1694" t="s">
        <v>2706</v>
      </c>
      <c r="B1694" s="2" t="str">
        <f>Hyperlink("https://www.diodes.com/datasheet/download/DMTH4004LPS.pdf")</f>
        <v>https://www.diodes.com/datasheet/download/DMTH4004LPS.pdf</v>
      </c>
      <c r="C1694" t="str">
        <f>Hyperlink("https://www.diodes.com/part/view/DMTH4004LPS","DMTH4004LPS")</f>
        <v>DMTH4004LPS</v>
      </c>
      <c r="D1694" t="s">
        <v>1555</v>
      </c>
      <c r="E1694" t="s">
        <v>27</v>
      </c>
      <c r="F1694" t="s">
        <v>28</v>
      </c>
      <c r="G1694" t="s">
        <v>29</v>
      </c>
      <c r="H1694" t="s">
        <v>30</v>
      </c>
      <c r="I1694">
        <v>40</v>
      </c>
      <c r="J1694">
        <v>20</v>
      </c>
      <c r="K1694">
        <v>26</v>
      </c>
      <c r="L1694">
        <v>100</v>
      </c>
      <c r="M1694">
        <v>2.6</v>
      </c>
      <c r="N1694">
        <v>138</v>
      </c>
      <c r="O1694">
        <v>2.5</v>
      </c>
      <c r="P1694">
        <v>4</v>
      </c>
      <c r="T1694">
        <v>3</v>
      </c>
      <c r="U1694">
        <v>34.6</v>
      </c>
      <c r="V1694">
        <v>82.2</v>
      </c>
      <c r="W1694">
        <v>4450</v>
      </c>
      <c r="X1694">
        <v>25</v>
      </c>
      <c r="Y1694" t="s">
        <v>907</v>
      </c>
    </row>
    <row r="1695" spans="1:25">
      <c r="A1695" t="s">
        <v>2707</v>
      </c>
      <c r="B1695" s="2" t="str">
        <f>Hyperlink("https://www.diodes.com/datasheet/download/DMTH4004LPSQ.pdf")</f>
        <v>https://www.diodes.com/datasheet/download/DMTH4004LPSQ.pdf</v>
      </c>
      <c r="C1695" t="str">
        <f>Hyperlink("https://www.diodes.com/part/view/DMTH4004LPSQ","DMTH4004LPSQ")</f>
        <v>DMTH4004LPSQ</v>
      </c>
      <c r="D1695" t="s">
        <v>1314</v>
      </c>
      <c r="E1695" t="s">
        <v>27</v>
      </c>
      <c r="F1695" t="s">
        <v>37</v>
      </c>
      <c r="G1695" t="s">
        <v>29</v>
      </c>
      <c r="H1695" t="s">
        <v>30</v>
      </c>
      <c r="I1695">
        <v>40</v>
      </c>
      <c r="J1695">
        <v>20</v>
      </c>
      <c r="L1695">
        <v>100</v>
      </c>
      <c r="M1695">
        <v>2.83</v>
      </c>
      <c r="N1695">
        <v>125</v>
      </c>
      <c r="O1695">
        <v>2.5</v>
      </c>
      <c r="P1695">
        <v>5</v>
      </c>
      <c r="T1695">
        <v>3</v>
      </c>
      <c r="U1695">
        <v>32.4</v>
      </c>
      <c r="V1695">
        <v>69.6</v>
      </c>
      <c r="W1695">
        <v>5220</v>
      </c>
      <c r="X1695">
        <v>20</v>
      </c>
      <c r="Y1695" t="s">
        <v>907</v>
      </c>
    </row>
    <row r="1696" spans="1:25">
      <c r="A1696" t="s">
        <v>2708</v>
      </c>
      <c r="B1696" s="2" t="str">
        <f>Hyperlink("https://www.diodes.com/datasheet/download/DMTH4004LPSWQ.pdf")</f>
        <v>https://www.diodes.com/datasheet/download/DMTH4004LPSWQ.pdf</v>
      </c>
      <c r="C1696" t="str">
        <f>Hyperlink("https://www.diodes.com/part/view/DMTH4004LPSWQ","DMTH4004LPSWQ")</f>
        <v>DMTH4004LPSWQ</v>
      </c>
      <c r="D1696" t="s">
        <v>2709</v>
      </c>
      <c r="E1696" t="s">
        <v>27</v>
      </c>
      <c r="F1696" t="s">
        <v>37</v>
      </c>
      <c r="G1696" t="s">
        <v>29</v>
      </c>
      <c r="H1696" t="s">
        <v>30</v>
      </c>
      <c r="I1696">
        <v>40</v>
      </c>
      <c r="J1696">
        <v>20</v>
      </c>
      <c r="L1696">
        <v>100</v>
      </c>
      <c r="M1696">
        <v>2.83</v>
      </c>
      <c r="N1696">
        <v>125</v>
      </c>
      <c r="O1696">
        <v>2.5</v>
      </c>
      <c r="P1696">
        <v>5</v>
      </c>
      <c r="S1696">
        <v>1</v>
      </c>
      <c r="T1696">
        <v>3</v>
      </c>
      <c r="U1696">
        <v>32.4</v>
      </c>
      <c r="V1696">
        <v>69.6</v>
      </c>
      <c r="W1696">
        <v>5220</v>
      </c>
      <c r="X1696">
        <v>25</v>
      </c>
      <c r="Y1696" t="s">
        <v>1546</v>
      </c>
    </row>
    <row r="1697" spans="1:25">
      <c r="A1697" t="s">
        <v>2710</v>
      </c>
      <c r="B1697" s="2" t="str">
        <f>Hyperlink("https://www.diodes.com/datasheet/download/DMTH4004SCTB.pdf")</f>
        <v>https://www.diodes.com/datasheet/download/DMTH4004SCTB.pdf</v>
      </c>
      <c r="C1697" t="str">
        <f>Hyperlink("https://www.diodes.com/part/view/DMTH4004SCTB","DMTH4004SCTB")</f>
        <v>DMTH4004SCTB</v>
      </c>
      <c r="D1697" t="s">
        <v>1555</v>
      </c>
      <c r="E1697" t="s">
        <v>27</v>
      </c>
      <c r="F1697" t="s">
        <v>28</v>
      </c>
      <c r="G1697" t="s">
        <v>29</v>
      </c>
      <c r="H1697" t="s">
        <v>30</v>
      </c>
      <c r="I1697">
        <v>40</v>
      </c>
      <c r="J1697">
        <v>20</v>
      </c>
      <c r="L1697">
        <v>100</v>
      </c>
      <c r="M1697">
        <v>4.7</v>
      </c>
      <c r="N1697">
        <v>136</v>
      </c>
      <c r="O1697">
        <v>3</v>
      </c>
      <c r="T1697">
        <v>4</v>
      </c>
      <c r="V1697">
        <v>68.6</v>
      </c>
      <c r="W1697">
        <v>4305</v>
      </c>
      <c r="X1697">
        <v>25</v>
      </c>
      <c r="Y1697" t="s">
        <v>1385</v>
      </c>
    </row>
    <row r="1698" spans="1:25">
      <c r="A1698" t="s">
        <v>2711</v>
      </c>
      <c r="B1698" s="2" t="str">
        <f>Hyperlink("https://www.diodes.com/datasheet/download/DMTH4004SCTBQ.pdf")</f>
        <v>https://www.diodes.com/datasheet/download/DMTH4004SCTBQ.pdf</v>
      </c>
      <c r="C1698" t="str">
        <f>Hyperlink("https://www.diodes.com/part/view/DMTH4004SCTBQ","DMTH4004SCTBQ")</f>
        <v>DMTH4004SCTBQ</v>
      </c>
      <c r="D1698" t="s">
        <v>1555</v>
      </c>
      <c r="E1698" t="s">
        <v>27</v>
      </c>
      <c r="F1698" t="s">
        <v>37</v>
      </c>
      <c r="G1698" t="s">
        <v>29</v>
      </c>
      <c r="H1698" t="s">
        <v>30</v>
      </c>
      <c r="I1698">
        <v>40</v>
      </c>
      <c r="J1698">
        <v>20</v>
      </c>
      <c r="L1698">
        <v>100</v>
      </c>
      <c r="M1698">
        <v>4.7</v>
      </c>
      <c r="N1698">
        <v>136</v>
      </c>
      <c r="O1698">
        <v>3</v>
      </c>
      <c r="T1698">
        <v>4</v>
      </c>
      <c r="V1698">
        <v>68.6</v>
      </c>
      <c r="W1698">
        <v>4305</v>
      </c>
      <c r="X1698">
        <v>25</v>
      </c>
      <c r="Y1698" t="s">
        <v>1385</v>
      </c>
    </row>
    <row r="1699" spans="1:25">
      <c r="A1699" t="s">
        <v>2712</v>
      </c>
      <c r="B1699" s="2" t="str">
        <f>Hyperlink("https://www.diodes.com/datasheet/download/DMTH4004SK3.pdf")</f>
        <v>https://www.diodes.com/datasheet/download/DMTH4004SK3.pdf</v>
      </c>
      <c r="C1699" t="str">
        <f>Hyperlink("https://www.diodes.com/part/view/DMTH4004SK3","DMTH4004SK3")</f>
        <v>DMTH4004SK3</v>
      </c>
      <c r="D1699" t="s">
        <v>1555</v>
      </c>
      <c r="E1699" t="s">
        <v>27</v>
      </c>
      <c r="F1699" t="s">
        <v>28</v>
      </c>
      <c r="G1699" t="s">
        <v>29</v>
      </c>
      <c r="H1699" t="s">
        <v>30</v>
      </c>
      <c r="I1699">
        <v>40</v>
      </c>
      <c r="J1699">
        <v>20</v>
      </c>
      <c r="L1699">
        <v>100</v>
      </c>
      <c r="M1699">
        <v>3.9</v>
      </c>
      <c r="N1699">
        <v>180</v>
      </c>
      <c r="O1699">
        <v>3.2</v>
      </c>
      <c r="T1699">
        <v>4</v>
      </c>
      <c r="V1699">
        <v>68.6</v>
      </c>
      <c r="W1699">
        <v>4305</v>
      </c>
      <c r="X1699">
        <v>25</v>
      </c>
      <c r="Y1699" t="s">
        <v>681</v>
      </c>
    </row>
    <row r="1700" spans="1:25">
      <c r="A1700" t="s">
        <v>2713</v>
      </c>
      <c r="B1700" s="2" t="str">
        <f>Hyperlink("https://www.diodes.com/datasheet/download/DMTH4004SK3Q.pdf")</f>
        <v>https://www.diodes.com/datasheet/download/DMTH4004SK3Q.pdf</v>
      </c>
      <c r="C1700" t="str">
        <f>Hyperlink("https://www.diodes.com/part/view/DMTH4004SK3Q","DMTH4004SK3Q")</f>
        <v>DMTH4004SK3Q</v>
      </c>
      <c r="D1700" t="s">
        <v>1555</v>
      </c>
      <c r="E1700" t="s">
        <v>27</v>
      </c>
      <c r="F1700" t="s">
        <v>37</v>
      </c>
      <c r="G1700" t="s">
        <v>29</v>
      </c>
      <c r="H1700" t="s">
        <v>30</v>
      </c>
      <c r="I1700">
        <v>40</v>
      </c>
      <c r="J1700">
        <v>20</v>
      </c>
      <c r="L1700">
        <v>100</v>
      </c>
      <c r="M1700">
        <v>3.9</v>
      </c>
      <c r="N1700">
        <v>180</v>
      </c>
      <c r="O1700">
        <v>3.2</v>
      </c>
      <c r="T1700">
        <v>4</v>
      </c>
      <c r="V1700">
        <v>68.6</v>
      </c>
      <c r="W1700">
        <v>4305</v>
      </c>
      <c r="X1700">
        <v>20</v>
      </c>
      <c r="Y1700" t="s">
        <v>681</v>
      </c>
    </row>
    <row r="1701" spans="1:25">
      <c r="A1701" t="s">
        <v>2714</v>
      </c>
      <c r="B1701" s="2" t="str">
        <f>Hyperlink("https://www.diodes.com/datasheet/download/DMTH4004SPS.pdf")</f>
        <v>https://www.diodes.com/datasheet/download/DMTH4004SPS.pdf</v>
      </c>
      <c r="C1701" t="str">
        <f>Hyperlink("https://www.diodes.com/part/view/DMTH4004SPS","DMTH4004SPS")</f>
        <v>DMTH4004SPS</v>
      </c>
      <c r="D1701" t="s">
        <v>1555</v>
      </c>
      <c r="E1701" t="s">
        <v>27</v>
      </c>
      <c r="F1701" t="s">
        <v>28</v>
      </c>
      <c r="G1701" t="s">
        <v>29</v>
      </c>
      <c r="H1701" t="s">
        <v>30</v>
      </c>
      <c r="I1701">
        <v>40</v>
      </c>
      <c r="J1701">
        <v>20</v>
      </c>
      <c r="K1701">
        <v>31</v>
      </c>
      <c r="L1701">
        <v>100</v>
      </c>
      <c r="M1701">
        <v>3.6</v>
      </c>
      <c r="N1701">
        <v>167</v>
      </c>
      <c r="O1701">
        <v>2.7</v>
      </c>
      <c r="T1701">
        <v>4</v>
      </c>
      <c r="V1701">
        <v>68.6</v>
      </c>
      <c r="W1701">
        <v>4305</v>
      </c>
      <c r="X1701">
        <v>25</v>
      </c>
      <c r="Y1701" t="s">
        <v>907</v>
      </c>
    </row>
    <row r="1702" spans="1:25">
      <c r="A1702" t="s">
        <v>2715</v>
      </c>
      <c r="B1702" s="2" t="str">
        <f>Hyperlink("https://www.diodes.com/datasheet/download/DMTH4004SPSQ.pdf")</f>
        <v>https://www.diodes.com/datasheet/download/DMTH4004SPSQ.pdf</v>
      </c>
      <c r="C1702" t="str">
        <f>Hyperlink("https://www.diodes.com/part/view/DMTH4004SPSQ","DMTH4004SPSQ")</f>
        <v>DMTH4004SPSQ</v>
      </c>
      <c r="D1702" t="s">
        <v>1555</v>
      </c>
      <c r="E1702" t="s">
        <v>27</v>
      </c>
      <c r="F1702" t="s">
        <v>37</v>
      </c>
      <c r="G1702" t="s">
        <v>29</v>
      </c>
      <c r="H1702" t="s">
        <v>30</v>
      </c>
      <c r="I1702">
        <v>40</v>
      </c>
      <c r="J1702">
        <v>20</v>
      </c>
      <c r="K1702">
        <v>31</v>
      </c>
      <c r="L1702">
        <v>100</v>
      </c>
      <c r="M1702">
        <v>3.6</v>
      </c>
      <c r="N1702">
        <v>167</v>
      </c>
      <c r="O1702">
        <v>2.7</v>
      </c>
      <c r="T1702">
        <v>4</v>
      </c>
      <c r="V1702">
        <v>68.6</v>
      </c>
      <c r="W1702">
        <v>4305</v>
      </c>
      <c r="X1702">
        <v>25</v>
      </c>
      <c r="Y1702" t="s">
        <v>907</v>
      </c>
    </row>
    <row r="1703" spans="1:25">
      <c r="A1703" t="s">
        <v>2716</v>
      </c>
      <c r="B1703" s="2" t="str">
        <f>Hyperlink("https://www.diodes.com/datasheet/download/DMTH4004SPSWQ.pdf")</f>
        <v>https://www.diodes.com/datasheet/download/DMTH4004SPSWQ.pdf</v>
      </c>
      <c r="C1703" t="str">
        <f>Hyperlink("https://www.diodes.com/part/view/DMTH4004SPSWQ","DMTH4004SPSWQ")</f>
        <v>DMTH4004SPSWQ</v>
      </c>
      <c r="D1703" t="s">
        <v>2709</v>
      </c>
      <c r="E1703" t="s">
        <v>27</v>
      </c>
      <c r="F1703" t="s">
        <v>37</v>
      </c>
      <c r="G1703" t="s">
        <v>29</v>
      </c>
      <c r="H1703" t="s">
        <v>30</v>
      </c>
      <c r="I1703">
        <v>40</v>
      </c>
      <c r="J1703">
        <v>20</v>
      </c>
      <c r="K1703">
        <v>31</v>
      </c>
      <c r="L1703">
        <v>100</v>
      </c>
      <c r="M1703">
        <v>3.6</v>
      </c>
      <c r="N1703">
        <v>167</v>
      </c>
      <c r="O1703">
        <v>2.7</v>
      </c>
      <c r="S1703">
        <v>2</v>
      </c>
      <c r="T1703">
        <v>4</v>
      </c>
      <c r="V1703">
        <v>68.6</v>
      </c>
      <c r="W1703">
        <v>4305</v>
      </c>
      <c r="X1703">
        <v>25</v>
      </c>
      <c r="Y1703" t="s">
        <v>1546</v>
      </c>
    </row>
    <row r="1704" spans="1:25">
      <c r="A1704" t="s">
        <v>2717</v>
      </c>
      <c r="B1704" s="2" t="str">
        <f>Hyperlink("https://www.diodes.com/datasheet/download/DMTH4005SCT.pdf")</f>
        <v>https://www.diodes.com/datasheet/download/DMTH4005SCT.pdf</v>
      </c>
      <c r="C1704" t="str">
        <f>Hyperlink("https://www.diodes.com/part/view/DMTH4005SCT","DMTH4005SCT")</f>
        <v>DMTH4005SCT</v>
      </c>
      <c r="D1704" t="s">
        <v>1555</v>
      </c>
      <c r="E1704" t="s">
        <v>27</v>
      </c>
      <c r="F1704" t="s">
        <v>28</v>
      </c>
      <c r="G1704" t="s">
        <v>29</v>
      </c>
      <c r="H1704" t="s">
        <v>30</v>
      </c>
      <c r="I1704">
        <v>40</v>
      </c>
      <c r="J1704">
        <v>20</v>
      </c>
      <c r="L1704">
        <v>100</v>
      </c>
      <c r="M1704">
        <v>2.8</v>
      </c>
      <c r="N1704">
        <v>125</v>
      </c>
      <c r="O1704">
        <v>4.7</v>
      </c>
      <c r="T1704">
        <v>4</v>
      </c>
      <c r="V1704">
        <v>49.1</v>
      </c>
      <c r="W1704">
        <v>3062</v>
      </c>
      <c r="X1704">
        <v>20</v>
      </c>
      <c r="Y1704" t="s">
        <v>2471</v>
      </c>
    </row>
    <row r="1705" spans="1:25">
      <c r="A1705" t="s">
        <v>2718</v>
      </c>
      <c r="B1705" s="2" t="str">
        <f>Hyperlink("https://www.diodes.com/datasheet/download/DMTH4005SK3.pdf")</f>
        <v>https://www.diodes.com/datasheet/download/DMTH4005SK3.pdf</v>
      </c>
      <c r="C1705" t="str">
        <f>Hyperlink("https://www.diodes.com/part/view/DMTH4005SK3","DMTH4005SK3")</f>
        <v>DMTH4005SK3</v>
      </c>
      <c r="D1705" t="s">
        <v>1555</v>
      </c>
      <c r="E1705" t="s">
        <v>27</v>
      </c>
      <c r="F1705" t="s">
        <v>28</v>
      </c>
      <c r="G1705" t="s">
        <v>29</v>
      </c>
      <c r="H1705" t="s">
        <v>30</v>
      </c>
      <c r="I1705">
        <v>40</v>
      </c>
      <c r="J1705">
        <v>20</v>
      </c>
      <c r="L1705">
        <v>95</v>
      </c>
      <c r="M1705">
        <v>2.1</v>
      </c>
      <c r="N1705">
        <v>100</v>
      </c>
      <c r="O1705">
        <v>4.5</v>
      </c>
      <c r="T1705">
        <v>4</v>
      </c>
      <c r="V1705">
        <v>49.1</v>
      </c>
      <c r="W1705">
        <v>3062</v>
      </c>
      <c r="X1705">
        <v>20</v>
      </c>
      <c r="Y1705" t="s">
        <v>681</v>
      </c>
    </row>
    <row r="1706" spans="1:25">
      <c r="A1706" t="s">
        <v>2719</v>
      </c>
      <c r="B1706" s="2" t="str">
        <f>Hyperlink("https://www.diodes.com/datasheet/download/DMTH4005SK3Q.pdf")</f>
        <v>https://www.diodes.com/datasheet/download/DMTH4005SK3Q.pdf</v>
      </c>
      <c r="C1706" t="str">
        <f>Hyperlink("https://www.diodes.com/part/view/DMTH4005SK3Q","DMTH4005SK3Q")</f>
        <v>DMTH4005SK3Q</v>
      </c>
      <c r="D1706" t="s">
        <v>1555</v>
      </c>
      <c r="E1706" t="s">
        <v>27</v>
      </c>
      <c r="F1706" t="s">
        <v>37</v>
      </c>
      <c r="G1706" t="s">
        <v>29</v>
      </c>
      <c r="H1706" t="s">
        <v>30</v>
      </c>
      <c r="I1706">
        <v>40</v>
      </c>
      <c r="J1706">
        <v>20</v>
      </c>
      <c r="L1706">
        <v>95</v>
      </c>
      <c r="M1706">
        <v>2.1</v>
      </c>
      <c r="N1706">
        <v>100</v>
      </c>
      <c r="O1706">
        <v>4.5</v>
      </c>
      <c r="T1706">
        <v>4</v>
      </c>
      <c r="V1706">
        <v>49.1</v>
      </c>
      <c r="W1706">
        <v>3062</v>
      </c>
      <c r="X1706">
        <v>20</v>
      </c>
      <c r="Y1706" t="s">
        <v>681</v>
      </c>
    </row>
    <row r="1707" spans="1:25">
      <c r="A1707" t="s">
        <v>2720</v>
      </c>
      <c r="B1707" s="2" t="str">
        <f>Hyperlink("https://www.diodes.com/datasheet/download/DMTH4005SPS.pdf")</f>
        <v>https://www.diodes.com/datasheet/download/DMTH4005SPS.pdf</v>
      </c>
      <c r="C1707" t="str">
        <f>Hyperlink("https://www.diodes.com/part/view/DMTH4005SPS","DMTH4005SPS")</f>
        <v>DMTH4005SPS</v>
      </c>
      <c r="D1707" t="s">
        <v>1555</v>
      </c>
      <c r="E1707" t="s">
        <v>27</v>
      </c>
      <c r="F1707" t="s">
        <v>28</v>
      </c>
      <c r="G1707" t="s">
        <v>29</v>
      </c>
      <c r="H1707" t="s">
        <v>30</v>
      </c>
      <c r="I1707">
        <v>40</v>
      </c>
      <c r="J1707">
        <v>20</v>
      </c>
      <c r="K1707">
        <v>20.9</v>
      </c>
      <c r="L1707">
        <v>100</v>
      </c>
      <c r="M1707">
        <v>2.6</v>
      </c>
      <c r="N1707">
        <v>150</v>
      </c>
      <c r="O1707">
        <v>3.7</v>
      </c>
      <c r="T1707">
        <v>4</v>
      </c>
      <c r="V1707">
        <v>49.1</v>
      </c>
      <c r="W1707">
        <v>3062</v>
      </c>
      <c r="X1707">
        <v>20</v>
      </c>
      <c r="Y1707" t="s">
        <v>907</v>
      </c>
    </row>
    <row r="1708" spans="1:25">
      <c r="A1708" t="s">
        <v>2721</v>
      </c>
      <c r="B1708" s="2" t="str">
        <f>Hyperlink("https://www.diodes.com/datasheet/download/DMTH4005SPSQ.pdf")</f>
        <v>https://www.diodes.com/datasheet/download/DMTH4005SPSQ.pdf</v>
      </c>
      <c r="C1708" t="str">
        <f>Hyperlink("https://www.diodes.com/part/view/DMTH4005SPSQ","DMTH4005SPSQ")</f>
        <v>DMTH4005SPSQ</v>
      </c>
      <c r="D1708" t="s">
        <v>1555</v>
      </c>
      <c r="E1708" t="s">
        <v>27</v>
      </c>
      <c r="F1708" t="s">
        <v>37</v>
      </c>
      <c r="G1708" t="s">
        <v>29</v>
      </c>
      <c r="H1708" t="s">
        <v>30</v>
      </c>
      <c r="I1708">
        <v>40</v>
      </c>
      <c r="J1708">
        <v>20</v>
      </c>
      <c r="K1708">
        <v>20.9</v>
      </c>
      <c r="L1708">
        <v>100</v>
      </c>
      <c r="M1708">
        <v>2.6</v>
      </c>
      <c r="N1708">
        <v>150</v>
      </c>
      <c r="O1708">
        <v>3.7</v>
      </c>
      <c r="T1708">
        <v>4</v>
      </c>
      <c r="V1708">
        <v>49.1</v>
      </c>
      <c r="W1708">
        <v>3062</v>
      </c>
      <c r="X1708">
        <v>20</v>
      </c>
      <c r="Y1708" t="s">
        <v>907</v>
      </c>
    </row>
    <row r="1709" spans="1:25">
      <c r="A1709" t="s">
        <v>2722</v>
      </c>
      <c r="B1709" s="2" t="str">
        <f>Hyperlink("https://www.diodes.com/datasheet/download/DMTH4005SPSWQ.pdf")</f>
        <v>https://www.diodes.com/datasheet/download/DMTH4005SPSWQ.pdf</v>
      </c>
      <c r="C1709" t="str">
        <f>Hyperlink("https://www.diodes.com/part/view/DMTH4005SPSWQ","DMTH4005SPSWQ")</f>
        <v>DMTH4005SPSWQ</v>
      </c>
      <c r="D1709" t="s">
        <v>2709</v>
      </c>
      <c r="E1709" t="s">
        <v>27</v>
      </c>
      <c r="F1709" t="s">
        <v>37</v>
      </c>
      <c r="G1709" t="s">
        <v>29</v>
      </c>
      <c r="H1709" t="s">
        <v>30</v>
      </c>
      <c r="I1709">
        <v>40</v>
      </c>
      <c r="J1709">
        <v>20</v>
      </c>
      <c r="K1709">
        <v>20.9</v>
      </c>
      <c r="L1709">
        <v>100</v>
      </c>
      <c r="M1709">
        <v>2.6</v>
      </c>
      <c r="N1709">
        <v>150</v>
      </c>
      <c r="O1709">
        <v>3.7</v>
      </c>
      <c r="S1709">
        <v>2</v>
      </c>
      <c r="T1709">
        <v>4</v>
      </c>
      <c r="V1709">
        <v>49.1</v>
      </c>
      <c r="W1709">
        <v>3062</v>
      </c>
      <c r="X1709">
        <v>20</v>
      </c>
      <c r="Y1709" t="s">
        <v>1546</v>
      </c>
    </row>
    <row r="1710" spans="1:25">
      <c r="A1710" t="s">
        <v>2723</v>
      </c>
      <c r="B1710" s="2" t="str">
        <f>Hyperlink("https://www.diodes.com/datasheet/download/DMTH4007LK3.pdf")</f>
        <v>https://www.diodes.com/datasheet/download/DMTH4007LK3.pdf</v>
      </c>
      <c r="C1710" t="str">
        <f>Hyperlink("https://www.diodes.com/part/view/DMTH4007LK3","DMTH4007LK3")</f>
        <v>DMTH4007LK3</v>
      </c>
      <c r="D1710" t="s">
        <v>1555</v>
      </c>
      <c r="E1710" t="s">
        <v>27</v>
      </c>
      <c r="F1710" t="s">
        <v>28</v>
      </c>
      <c r="G1710" t="s">
        <v>29</v>
      </c>
      <c r="H1710" t="s">
        <v>30</v>
      </c>
      <c r="I1710">
        <v>40</v>
      </c>
      <c r="J1710">
        <v>20</v>
      </c>
      <c r="K1710">
        <v>16.8</v>
      </c>
      <c r="L1710">
        <v>70</v>
      </c>
      <c r="M1710">
        <v>2.6</v>
      </c>
      <c r="N1710">
        <v>59</v>
      </c>
      <c r="O1710">
        <v>7.3</v>
      </c>
      <c r="P1710">
        <v>9.8</v>
      </c>
      <c r="T1710">
        <v>3</v>
      </c>
      <c r="U1710">
        <v>12.4</v>
      </c>
      <c r="V1710">
        <v>29.1</v>
      </c>
      <c r="W1710">
        <v>1895</v>
      </c>
      <c r="X1710">
        <v>30</v>
      </c>
      <c r="Y1710" t="s">
        <v>681</v>
      </c>
    </row>
    <row r="1711" spans="1:25">
      <c r="A1711" t="s">
        <v>2724</v>
      </c>
      <c r="B1711" s="2" t="str">
        <f>Hyperlink("https://www.diodes.com/datasheet/download/DMTH4007LK3Q.pdf")</f>
        <v>https://www.diodes.com/datasheet/download/DMTH4007LK3Q.pdf</v>
      </c>
      <c r="C1711" t="str">
        <f>Hyperlink("https://www.diodes.com/part/view/DMTH4007LK3Q","DMTH4007LK3Q")</f>
        <v>DMTH4007LK3Q</v>
      </c>
      <c r="D1711" t="s">
        <v>1555</v>
      </c>
      <c r="E1711" t="s">
        <v>27</v>
      </c>
      <c r="F1711" t="s">
        <v>37</v>
      </c>
      <c r="G1711" t="s">
        <v>29</v>
      </c>
      <c r="H1711" t="s">
        <v>30</v>
      </c>
      <c r="I1711">
        <v>40</v>
      </c>
      <c r="J1711">
        <v>20</v>
      </c>
      <c r="K1711">
        <v>16.8</v>
      </c>
      <c r="L1711">
        <v>70</v>
      </c>
      <c r="M1711">
        <v>2.6</v>
      </c>
      <c r="N1711">
        <v>59</v>
      </c>
      <c r="O1711">
        <v>7.3</v>
      </c>
      <c r="P1711">
        <v>9.8</v>
      </c>
      <c r="T1711">
        <v>3</v>
      </c>
      <c r="U1711">
        <v>12.4</v>
      </c>
      <c r="V1711">
        <v>29.1</v>
      </c>
      <c r="W1711">
        <v>1895</v>
      </c>
      <c r="X1711">
        <v>30</v>
      </c>
      <c r="Y1711" t="s">
        <v>681</v>
      </c>
    </row>
    <row r="1712" spans="1:25">
      <c r="A1712" t="s">
        <v>2725</v>
      </c>
      <c r="B1712" s="2" t="str">
        <f>Hyperlink("https://www.diodes.com/datasheet/download/DMTH4007LPS.pdf")</f>
        <v>https://www.diodes.com/datasheet/download/DMTH4007LPS.pdf</v>
      </c>
      <c r="C1712" t="str">
        <f>Hyperlink("https://www.diodes.com/part/view/DMTH4007LPS","DMTH4007LPS")</f>
        <v>DMTH4007LPS</v>
      </c>
      <c r="D1712" t="s">
        <v>1555</v>
      </c>
      <c r="E1712" t="s">
        <v>27</v>
      </c>
      <c r="F1712" t="s">
        <v>28</v>
      </c>
      <c r="G1712" t="s">
        <v>29</v>
      </c>
      <c r="H1712" t="s">
        <v>30</v>
      </c>
      <c r="I1712">
        <v>40</v>
      </c>
      <c r="J1712">
        <v>20</v>
      </c>
      <c r="K1712">
        <v>15.5</v>
      </c>
      <c r="L1712">
        <v>100</v>
      </c>
      <c r="M1712">
        <v>2.7</v>
      </c>
      <c r="N1712">
        <v>150</v>
      </c>
      <c r="O1712">
        <v>6.5</v>
      </c>
      <c r="P1712">
        <v>9.8</v>
      </c>
      <c r="T1712">
        <v>3</v>
      </c>
      <c r="U1712">
        <v>12.4</v>
      </c>
      <c r="V1712">
        <v>29.1</v>
      </c>
      <c r="W1712">
        <v>1895</v>
      </c>
      <c r="X1712">
        <v>30</v>
      </c>
      <c r="Y1712" t="s">
        <v>907</v>
      </c>
    </row>
    <row r="1713" spans="1:25">
      <c r="A1713" t="s">
        <v>2726</v>
      </c>
      <c r="B1713" s="2" t="str">
        <f>Hyperlink("https://www.diodes.com/datasheet/download/DMTH4007LPSQ.pdf")</f>
        <v>https://www.diodes.com/datasheet/download/DMTH4007LPSQ.pdf</v>
      </c>
      <c r="C1713" t="str">
        <f>Hyperlink("https://www.diodes.com/part/view/DMTH4007LPSQ","DMTH4007LPSQ")</f>
        <v>DMTH4007LPSQ</v>
      </c>
      <c r="D1713" t="s">
        <v>1555</v>
      </c>
      <c r="E1713" t="s">
        <v>27</v>
      </c>
      <c r="F1713" t="s">
        <v>37</v>
      </c>
      <c r="G1713" t="s">
        <v>29</v>
      </c>
      <c r="H1713" t="s">
        <v>30</v>
      </c>
      <c r="I1713">
        <v>40</v>
      </c>
      <c r="J1713">
        <v>20</v>
      </c>
      <c r="K1713">
        <v>15.5</v>
      </c>
      <c r="L1713">
        <v>100</v>
      </c>
      <c r="M1713">
        <v>2.7</v>
      </c>
      <c r="N1713">
        <v>150</v>
      </c>
      <c r="O1713">
        <v>6.5</v>
      </c>
      <c r="P1713">
        <v>9.8</v>
      </c>
      <c r="T1713">
        <v>3</v>
      </c>
      <c r="U1713">
        <v>12.4</v>
      </c>
      <c r="V1713">
        <v>29.1</v>
      </c>
      <c r="W1713">
        <v>1895</v>
      </c>
      <c r="X1713">
        <v>30</v>
      </c>
      <c r="Y1713" t="s">
        <v>907</v>
      </c>
    </row>
    <row r="1714" spans="1:25">
      <c r="A1714" t="s">
        <v>2727</v>
      </c>
      <c r="B1714" s="2" t="str">
        <f>Hyperlink("https://www.diodes.com/datasheet/download/DMTH4007LPSWQ.pdf")</f>
        <v>https://www.diodes.com/datasheet/download/DMTH4007LPSWQ.pdf</v>
      </c>
      <c r="C1714" t="str">
        <f>Hyperlink("https://www.diodes.com/part/view/DMTH4007LPSWQ","DMTH4007LPSWQ")</f>
        <v>DMTH4007LPSWQ</v>
      </c>
      <c r="D1714" t="s">
        <v>2728</v>
      </c>
      <c r="E1714" t="s">
        <v>27</v>
      </c>
      <c r="F1714" t="s">
        <v>37</v>
      </c>
      <c r="G1714" t="s">
        <v>29</v>
      </c>
      <c r="H1714" t="s">
        <v>30</v>
      </c>
      <c r="I1714">
        <v>40</v>
      </c>
      <c r="J1714">
        <v>20</v>
      </c>
      <c r="K1714">
        <v>15</v>
      </c>
      <c r="L1714">
        <v>85</v>
      </c>
      <c r="M1714">
        <v>2.7</v>
      </c>
      <c r="N1714">
        <v>83.3</v>
      </c>
      <c r="O1714">
        <v>6.5</v>
      </c>
      <c r="P1714">
        <v>9.8</v>
      </c>
      <c r="S1714">
        <v>1</v>
      </c>
      <c r="T1714">
        <v>3</v>
      </c>
      <c r="U1714">
        <v>12.4</v>
      </c>
      <c r="V1714">
        <v>29.1</v>
      </c>
      <c r="W1714">
        <v>1895</v>
      </c>
      <c r="X1714">
        <v>30</v>
      </c>
      <c r="Y1714" t="s">
        <v>1546</v>
      </c>
    </row>
    <row r="1715" spans="1:25">
      <c r="A1715" t="s">
        <v>2729</v>
      </c>
      <c r="B1715" s="2" t="str">
        <f>Hyperlink("https://www.diodes.com/datasheet/download/DMTH4007SK3.pdf")</f>
        <v>https://www.diodes.com/datasheet/download/DMTH4007SK3.pdf</v>
      </c>
      <c r="C1715" t="str">
        <f>Hyperlink("https://www.diodes.com/part/view/DMTH4007SK3","DMTH4007SK3")</f>
        <v>DMTH4007SK3</v>
      </c>
      <c r="D1715" t="s">
        <v>1555</v>
      </c>
      <c r="E1715" t="s">
        <v>27</v>
      </c>
      <c r="F1715" t="s">
        <v>28</v>
      </c>
      <c r="G1715" t="s">
        <v>29</v>
      </c>
      <c r="H1715" t="s">
        <v>30</v>
      </c>
      <c r="I1715">
        <v>40</v>
      </c>
      <c r="J1715">
        <v>20</v>
      </c>
      <c r="K1715">
        <v>17.6</v>
      </c>
      <c r="L1715">
        <v>76</v>
      </c>
      <c r="M1715">
        <v>3.1</v>
      </c>
      <c r="N1715">
        <v>59</v>
      </c>
      <c r="O1715">
        <v>6</v>
      </c>
      <c r="T1715">
        <v>4</v>
      </c>
      <c r="V1715">
        <v>41.9</v>
      </c>
      <c r="W1715">
        <v>2082</v>
      </c>
      <c r="X1715">
        <v>25</v>
      </c>
      <c r="Y1715" t="s">
        <v>681</v>
      </c>
    </row>
    <row r="1716" spans="1:25">
      <c r="A1716" t="s">
        <v>2730</v>
      </c>
      <c r="B1716" s="2" t="str">
        <f>Hyperlink("https://www.diodes.com/datasheet/download/DMTH4007SPD.pdf")</f>
        <v>https://www.diodes.com/datasheet/download/DMTH4007SPD.pdf</v>
      </c>
      <c r="C1716" t="str">
        <f>Hyperlink("https://www.diodes.com/part/view/DMTH4007SPD","DMTH4007SPD")</f>
        <v>DMTH4007SPD</v>
      </c>
      <c r="D1716" t="s">
        <v>1572</v>
      </c>
      <c r="E1716" t="s">
        <v>27</v>
      </c>
      <c r="F1716" t="s">
        <v>28</v>
      </c>
      <c r="G1716" t="s">
        <v>40</v>
      </c>
      <c r="H1716" t="s">
        <v>30</v>
      </c>
      <c r="I1716">
        <v>40</v>
      </c>
      <c r="J1716">
        <v>20</v>
      </c>
      <c r="K1716">
        <v>14.2</v>
      </c>
      <c r="L1716">
        <v>45</v>
      </c>
      <c r="M1716">
        <v>2.6</v>
      </c>
      <c r="N1716">
        <v>37.5</v>
      </c>
      <c r="O1716">
        <v>8.6</v>
      </c>
      <c r="T1716">
        <v>4</v>
      </c>
      <c r="V1716">
        <v>41.9</v>
      </c>
      <c r="W1716">
        <v>2026</v>
      </c>
      <c r="X1716">
        <v>30</v>
      </c>
      <c r="Y1716" t="s">
        <v>144</v>
      </c>
    </row>
    <row r="1717" spans="1:25">
      <c r="A1717" t="s">
        <v>2731</v>
      </c>
      <c r="B1717" s="2" t="str">
        <f>Hyperlink("https://www.diodes.com/datasheet/download/DMTH4007SPDQ.pdf")</f>
        <v>https://www.diodes.com/datasheet/download/DMTH4007SPDQ.pdf</v>
      </c>
      <c r="C1717" t="str">
        <f>Hyperlink("https://www.diodes.com/part/view/DMTH4007SPDQ","DMTH4007SPDQ")</f>
        <v>DMTH4007SPDQ</v>
      </c>
      <c r="D1717" t="s">
        <v>2732</v>
      </c>
      <c r="E1717" t="s">
        <v>27</v>
      </c>
      <c r="F1717" t="s">
        <v>37</v>
      </c>
      <c r="G1717" t="s">
        <v>40</v>
      </c>
      <c r="H1717" t="s">
        <v>30</v>
      </c>
      <c r="I1717">
        <v>40</v>
      </c>
      <c r="J1717">
        <v>20</v>
      </c>
      <c r="K1717">
        <v>14.2</v>
      </c>
      <c r="L1717">
        <v>45</v>
      </c>
      <c r="M1717">
        <v>2.6</v>
      </c>
      <c r="N1717">
        <v>37.5</v>
      </c>
      <c r="O1717">
        <v>8.6</v>
      </c>
      <c r="T1717">
        <v>4</v>
      </c>
      <c r="V1717">
        <v>41.9</v>
      </c>
      <c r="W1717">
        <v>2026</v>
      </c>
      <c r="X1717">
        <v>30</v>
      </c>
      <c r="Y1717" t="s">
        <v>144</v>
      </c>
    </row>
    <row r="1718" spans="1:25">
      <c r="A1718" t="s">
        <v>2733</v>
      </c>
      <c r="B1718" s="2" t="str">
        <f>Hyperlink("https://www.diodes.com/datasheet/download/DMTH4007SPDWQ.pdf")</f>
        <v>https://www.diodes.com/datasheet/download/DMTH4007SPDWQ.pdf</v>
      </c>
      <c r="C1718" t="str">
        <f>Hyperlink("https://www.diodes.com/part/view/DMTH4007SPDWQ","DMTH4007SPDWQ")</f>
        <v>DMTH4007SPDWQ</v>
      </c>
      <c r="D1718" t="s">
        <v>2734</v>
      </c>
      <c r="E1718" t="s">
        <v>27</v>
      </c>
      <c r="F1718" t="s">
        <v>37</v>
      </c>
      <c r="G1718" t="s">
        <v>40</v>
      </c>
      <c r="H1718" t="s">
        <v>30</v>
      </c>
      <c r="I1718">
        <v>40</v>
      </c>
      <c r="J1718">
        <v>20</v>
      </c>
      <c r="K1718">
        <v>12.5</v>
      </c>
      <c r="L1718">
        <v>48</v>
      </c>
      <c r="M1718">
        <v>2.6</v>
      </c>
      <c r="N1718">
        <v>37.5</v>
      </c>
      <c r="O1718">
        <v>8.6</v>
      </c>
      <c r="S1718">
        <v>2</v>
      </c>
      <c r="T1718">
        <v>4</v>
      </c>
      <c r="V1718">
        <v>41.9</v>
      </c>
      <c r="W1718">
        <v>2026</v>
      </c>
      <c r="X1718">
        <v>30</v>
      </c>
      <c r="Y1718" t="s">
        <v>168</v>
      </c>
    </row>
    <row r="1719" spans="1:25">
      <c r="A1719" t="s">
        <v>2735</v>
      </c>
      <c r="B1719" s="2" t="str">
        <f>Hyperlink("https://www.diodes.com/datasheet/download/DMTH4007SPS.pdf")</f>
        <v>https://www.diodes.com/datasheet/download/DMTH4007SPS.pdf</v>
      </c>
      <c r="C1719" t="str">
        <f>Hyperlink("https://www.diodes.com/part/view/DMTH4007SPS","DMTH4007SPS")</f>
        <v>DMTH4007SPS</v>
      </c>
      <c r="D1719" t="s">
        <v>1314</v>
      </c>
      <c r="E1719" t="s">
        <v>27</v>
      </c>
      <c r="F1719" t="s">
        <v>28</v>
      </c>
      <c r="G1719" t="s">
        <v>29</v>
      </c>
      <c r="H1719" t="s">
        <v>30</v>
      </c>
      <c r="I1719">
        <v>40</v>
      </c>
      <c r="J1719">
        <v>20</v>
      </c>
      <c r="K1719">
        <v>15.7</v>
      </c>
      <c r="L1719">
        <v>100</v>
      </c>
      <c r="M1719">
        <v>2.8</v>
      </c>
      <c r="N1719">
        <v>136</v>
      </c>
      <c r="O1719">
        <v>7.6</v>
      </c>
      <c r="T1719">
        <v>4</v>
      </c>
      <c r="V1719">
        <v>41.9</v>
      </c>
      <c r="W1719">
        <v>2082</v>
      </c>
      <c r="X1719">
        <v>25</v>
      </c>
      <c r="Y1719" t="s">
        <v>2029</v>
      </c>
    </row>
    <row r="1720" spans="1:25">
      <c r="A1720" t="s">
        <v>2736</v>
      </c>
      <c r="B1720" s="2" t="str">
        <f>Hyperlink("https://www.diodes.com/datasheet/download/DMTH4007SPSQ.pdf")</f>
        <v>https://www.diodes.com/datasheet/download/DMTH4007SPSQ.pdf</v>
      </c>
      <c r="C1720" t="str">
        <f>Hyperlink("https://www.diodes.com/part/view/DMTH4007SPSQ","DMTH4007SPSQ")</f>
        <v>DMTH4007SPSQ</v>
      </c>
      <c r="D1720" t="s">
        <v>1555</v>
      </c>
      <c r="E1720" t="s">
        <v>27</v>
      </c>
      <c r="F1720" t="s">
        <v>37</v>
      </c>
      <c r="G1720" t="s">
        <v>29</v>
      </c>
      <c r="H1720" t="s">
        <v>30</v>
      </c>
      <c r="I1720">
        <v>40</v>
      </c>
      <c r="J1720">
        <v>20</v>
      </c>
      <c r="K1720">
        <v>15.7</v>
      </c>
      <c r="L1720">
        <v>100</v>
      </c>
      <c r="M1720">
        <v>2.8</v>
      </c>
      <c r="N1720">
        <v>136</v>
      </c>
      <c r="O1720">
        <v>7.6</v>
      </c>
      <c r="T1720">
        <v>4</v>
      </c>
      <c r="V1720">
        <v>41.9</v>
      </c>
      <c r="W1720">
        <v>2082</v>
      </c>
      <c r="X1720">
        <v>25</v>
      </c>
      <c r="Y1720" t="s">
        <v>907</v>
      </c>
    </row>
    <row r="1721" spans="1:25">
      <c r="A1721" t="s">
        <v>2737</v>
      </c>
      <c r="B1721" s="2" t="str">
        <f>Hyperlink("https://www.diodes.com/datasheet/download/DMTH4007SPSWQ.pdf")</f>
        <v>https://www.diodes.com/datasheet/download/DMTH4007SPSWQ.pdf</v>
      </c>
      <c r="C1721" t="str">
        <f>Hyperlink("https://www.diodes.com/part/view/DMTH4007SPSWQ","DMTH4007SPSWQ")</f>
        <v>DMTH4007SPSWQ</v>
      </c>
      <c r="D1721" t="s">
        <v>2709</v>
      </c>
      <c r="E1721" t="s">
        <v>27</v>
      </c>
      <c r="F1721" t="s">
        <v>37</v>
      </c>
      <c r="G1721" t="s">
        <v>29</v>
      </c>
      <c r="H1721" t="s">
        <v>30</v>
      </c>
      <c r="I1721">
        <v>40</v>
      </c>
      <c r="J1721">
        <v>20</v>
      </c>
      <c r="K1721">
        <v>15.7</v>
      </c>
      <c r="L1721">
        <v>100</v>
      </c>
      <c r="M1721">
        <v>2.8</v>
      </c>
      <c r="N1721">
        <v>136</v>
      </c>
      <c r="O1721">
        <v>7.6</v>
      </c>
      <c r="S1721">
        <v>2</v>
      </c>
      <c r="T1721">
        <v>4</v>
      </c>
      <c r="V1721">
        <v>41.9</v>
      </c>
      <c r="W1721">
        <v>2082</v>
      </c>
      <c r="X1721">
        <v>25</v>
      </c>
      <c r="Y1721" t="s">
        <v>1546</v>
      </c>
    </row>
    <row r="1722" spans="1:25">
      <c r="A1722" t="s">
        <v>2738</v>
      </c>
      <c r="B1722" s="2" t="str">
        <f>Hyperlink("https://www.diodes.com/datasheet/download/DMTH4008LFDFW.pdf")</f>
        <v>https://www.diodes.com/datasheet/download/DMTH4008LFDFW.pdf</v>
      </c>
      <c r="C1722" t="str">
        <f>Hyperlink("https://www.diodes.com/part/view/DMTH4008LFDFW","DMTH4008LFDFW")</f>
        <v>DMTH4008LFDFW</v>
      </c>
      <c r="D1722" t="s">
        <v>1314</v>
      </c>
      <c r="E1722" t="s">
        <v>27</v>
      </c>
      <c r="F1722" t="s">
        <v>28</v>
      </c>
      <c r="G1722" t="s">
        <v>29</v>
      </c>
      <c r="H1722" t="s">
        <v>30</v>
      </c>
      <c r="I1722">
        <v>40</v>
      </c>
      <c r="J1722">
        <v>20</v>
      </c>
      <c r="K1722">
        <v>11.6</v>
      </c>
      <c r="M1722">
        <v>2.35</v>
      </c>
      <c r="O1722">
        <v>11.5</v>
      </c>
      <c r="P1722">
        <v>18</v>
      </c>
      <c r="T1722">
        <v>3</v>
      </c>
      <c r="U1722">
        <v>6.8</v>
      </c>
      <c r="V1722">
        <v>14.2</v>
      </c>
      <c r="W1722">
        <v>1030</v>
      </c>
      <c r="X1722">
        <v>20</v>
      </c>
      <c r="Y1722" t="s">
        <v>2739</v>
      </c>
    </row>
    <row r="1723" spans="1:25">
      <c r="A1723" t="s">
        <v>2740</v>
      </c>
      <c r="B1723" s="2" t="str">
        <f>Hyperlink("https://www.diodes.com/datasheet/download/DMTH4008LFDFWQ.pdf")</f>
        <v>https://www.diodes.com/datasheet/download/DMTH4008LFDFWQ.pdf</v>
      </c>
      <c r="C1723" t="str">
        <f>Hyperlink("https://www.diodes.com/part/view/DMTH4008LFDFWQ","DMTH4008LFDFWQ")</f>
        <v>DMTH4008LFDFWQ</v>
      </c>
      <c r="D1723" t="s">
        <v>1555</v>
      </c>
      <c r="E1723" t="s">
        <v>27</v>
      </c>
      <c r="F1723" t="s">
        <v>37</v>
      </c>
      <c r="G1723" t="s">
        <v>29</v>
      </c>
      <c r="H1723" t="s">
        <v>30</v>
      </c>
      <c r="I1723">
        <v>40</v>
      </c>
      <c r="J1723">
        <v>20</v>
      </c>
      <c r="K1723">
        <v>11.6</v>
      </c>
      <c r="M1723">
        <v>2.35</v>
      </c>
      <c r="O1723">
        <v>11.5</v>
      </c>
      <c r="P1723">
        <v>18</v>
      </c>
      <c r="T1723">
        <v>3</v>
      </c>
      <c r="U1723">
        <v>6.8</v>
      </c>
      <c r="V1723">
        <v>14.2</v>
      </c>
      <c r="W1723">
        <v>1030</v>
      </c>
      <c r="X1723">
        <v>20</v>
      </c>
      <c r="Y1723" t="s">
        <v>2739</v>
      </c>
    </row>
    <row r="1724" spans="1:25">
      <c r="A1724" t="s">
        <v>2741</v>
      </c>
      <c r="B1724" s="2" t="str">
        <f>Hyperlink("https://www.diodes.com/datasheet/download/DMTH4008LPDW.pdf")</f>
        <v>https://www.diodes.com/datasheet/download/DMTH4008LPDW.pdf</v>
      </c>
      <c r="C1724" t="str">
        <f>Hyperlink("https://www.diodes.com/part/view/DMTH4008LPDW","DMTH4008LPDW")</f>
        <v>DMTH4008LPDW</v>
      </c>
      <c r="D1724" t="s">
        <v>1322</v>
      </c>
      <c r="E1724" t="s">
        <v>27</v>
      </c>
      <c r="F1724" t="s">
        <v>28</v>
      </c>
      <c r="G1724" t="s">
        <v>40</v>
      </c>
      <c r="H1724" t="s">
        <v>30</v>
      </c>
      <c r="I1724">
        <v>40</v>
      </c>
      <c r="J1724">
        <v>20</v>
      </c>
      <c r="K1724">
        <v>10</v>
      </c>
      <c r="L1724">
        <v>46.2</v>
      </c>
      <c r="M1724">
        <v>1.3</v>
      </c>
      <c r="N1724">
        <v>39.4</v>
      </c>
      <c r="O1724">
        <v>12.3</v>
      </c>
      <c r="P1724">
        <v>17.5</v>
      </c>
      <c r="T1724">
        <v>2.3</v>
      </c>
      <c r="U1724">
        <v>5.8</v>
      </c>
      <c r="V1724">
        <v>12.3</v>
      </c>
      <c r="W1724">
        <v>881</v>
      </c>
      <c r="X1724">
        <v>20</v>
      </c>
      <c r="Y1724" t="s">
        <v>168</v>
      </c>
    </row>
    <row r="1725" spans="1:25">
      <c r="A1725" t="s">
        <v>2742</v>
      </c>
      <c r="B1725" s="2" t="str">
        <f>Hyperlink("https://www.diodes.com/datasheet/download/DMTH4008LPDWQ.pdf")</f>
        <v>https://www.diodes.com/datasheet/download/DMTH4008LPDWQ.pdf</v>
      </c>
      <c r="C1725" t="str">
        <f>Hyperlink("https://www.diodes.com/part/view/DMTH4008LPDWQ","DMTH4008LPDWQ")</f>
        <v>DMTH4008LPDWQ</v>
      </c>
      <c r="D1725" t="s">
        <v>1555</v>
      </c>
      <c r="E1725" t="s">
        <v>27</v>
      </c>
      <c r="F1725" t="s">
        <v>37</v>
      </c>
      <c r="G1725" t="s">
        <v>40</v>
      </c>
      <c r="H1725" t="s">
        <v>30</v>
      </c>
      <c r="I1725">
        <v>40</v>
      </c>
      <c r="J1725">
        <v>20</v>
      </c>
      <c r="K1725">
        <v>10</v>
      </c>
      <c r="L1725">
        <v>46.2</v>
      </c>
      <c r="M1725">
        <v>2.67</v>
      </c>
      <c r="N1725">
        <v>39.4</v>
      </c>
      <c r="O1725">
        <v>12.3</v>
      </c>
      <c r="P1725">
        <v>17.5</v>
      </c>
      <c r="T1725">
        <v>2.3</v>
      </c>
      <c r="U1725">
        <v>5.8</v>
      </c>
      <c r="V1725">
        <v>12.3</v>
      </c>
      <c r="W1725">
        <v>881</v>
      </c>
      <c r="X1725">
        <v>20</v>
      </c>
      <c r="Y1725" t="s">
        <v>168</v>
      </c>
    </row>
    <row r="1726" spans="1:25">
      <c r="A1726" t="s">
        <v>2743</v>
      </c>
      <c r="B1726" s="2" t="str">
        <f>Hyperlink("https://www.diodes.com/datasheet/download/DMTH4008LPS.pdf")</f>
        <v>https://www.diodes.com/datasheet/download/DMTH4008LPS.pdf</v>
      </c>
      <c r="C1726" t="str">
        <f>Hyperlink("https://www.diodes.com/part/view/DMTH4008LPS","DMTH4008LPS")</f>
        <v>DMTH4008LPS</v>
      </c>
      <c r="D1726" t="s">
        <v>1314</v>
      </c>
      <c r="E1726" t="s">
        <v>27</v>
      </c>
      <c r="F1726" t="s">
        <v>28</v>
      </c>
      <c r="G1726" t="s">
        <v>29</v>
      </c>
      <c r="H1726" t="s">
        <v>30</v>
      </c>
      <c r="I1726">
        <v>40</v>
      </c>
      <c r="J1726">
        <v>20</v>
      </c>
      <c r="K1726">
        <v>14.4</v>
      </c>
      <c r="L1726">
        <v>64.8</v>
      </c>
      <c r="M1726">
        <v>2.99</v>
      </c>
      <c r="N1726">
        <v>55.5</v>
      </c>
      <c r="O1726">
        <v>8.8</v>
      </c>
      <c r="P1726">
        <v>13</v>
      </c>
      <c r="T1726">
        <v>3</v>
      </c>
      <c r="U1726">
        <v>7.4</v>
      </c>
      <c r="V1726">
        <v>15.3</v>
      </c>
      <c r="W1726">
        <v>1088</v>
      </c>
      <c r="X1726">
        <v>20</v>
      </c>
      <c r="Y1726" t="s">
        <v>907</v>
      </c>
    </row>
    <row r="1727" spans="1:25">
      <c r="A1727" t="s">
        <v>2744</v>
      </c>
      <c r="B1727" s="2" t="str">
        <f>Hyperlink("https://www.diodes.com/datasheet/download/DMTH4008LPSQ.pdf")</f>
        <v>https://www.diodes.com/datasheet/download/DMTH4008LPSQ.pdf</v>
      </c>
      <c r="C1727" t="str">
        <f>Hyperlink("https://www.diodes.com/part/view/DMTH4008LPSQ","DMTH4008LPSQ")</f>
        <v>DMTH4008LPSQ</v>
      </c>
      <c r="D1727" t="s">
        <v>1555</v>
      </c>
      <c r="E1727" t="s">
        <v>27</v>
      </c>
      <c r="F1727" t="s">
        <v>37</v>
      </c>
      <c r="G1727" t="s">
        <v>29</v>
      </c>
      <c r="H1727" t="s">
        <v>30</v>
      </c>
      <c r="I1727">
        <v>40</v>
      </c>
      <c r="J1727">
        <v>20</v>
      </c>
      <c r="K1727">
        <v>14.4</v>
      </c>
      <c r="L1727">
        <v>64.8</v>
      </c>
      <c r="M1727">
        <v>2.99</v>
      </c>
      <c r="N1727">
        <v>55.5</v>
      </c>
      <c r="O1727">
        <v>8.8</v>
      </c>
      <c r="P1727">
        <v>13</v>
      </c>
      <c r="T1727">
        <v>3</v>
      </c>
      <c r="U1727">
        <v>7.4</v>
      </c>
      <c r="V1727">
        <v>15.3</v>
      </c>
      <c r="W1727">
        <v>1088</v>
      </c>
      <c r="X1727">
        <v>20</v>
      </c>
      <c r="Y1727" t="s">
        <v>907</v>
      </c>
    </row>
    <row r="1728" spans="1:25">
      <c r="A1728" t="s">
        <v>2745</v>
      </c>
      <c r="B1728" s="2" t="str">
        <f>Hyperlink("https://www.diodes.com/datasheet/download/DMTH4008LPSWQ.pdf")</f>
        <v>https://www.diodes.com/datasheet/download/DMTH4008LPSWQ.pdf</v>
      </c>
      <c r="C1728" t="str">
        <f>Hyperlink("https://www.diodes.com/part/view/DMTH4008LPSWQ","DMTH4008LPSWQ")</f>
        <v>DMTH4008LPSWQ</v>
      </c>
      <c r="D1728" t="s">
        <v>2709</v>
      </c>
      <c r="E1728" t="s">
        <v>27</v>
      </c>
      <c r="F1728" t="s">
        <v>37</v>
      </c>
      <c r="G1728" t="s">
        <v>29</v>
      </c>
      <c r="H1728" t="s">
        <v>30</v>
      </c>
      <c r="I1728">
        <v>40</v>
      </c>
      <c r="J1728">
        <v>20</v>
      </c>
      <c r="K1728">
        <v>14.4</v>
      </c>
      <c r="L1728">
        <v>64.8</v>
      </c>
      <c r="M1728">
        <v>2.99</v>
      </c>
      <c r="N1728">
        <v>55.5</v>
      </c>
      <c r="O1728">
        <v>8.8</v>
      </c>
      <c r="P1728">
        <v>13</v>
      </c>
      <c r="S1728">
        <v>1</v>
      </c>
      <c r="T1728">
        <v>3</v>
      </c>
      <c r="U1728">
        <v>7.4</v>
      </c>
      <c r="V1728">
        <v>15.3</v>
      </c>
      <c r="W1728">
        <v>1088</v>
      </c>
      <c r="X1728">
        <v>20</v>
      </c>
      <c r="Y1728" t="s">
        <v>1546</v>
      </c>
    </row>
    <row r="1729" spans="1:25">
      <c r="A1729" t="s">
        <v>2746</v>
      </c>
      <c r="B1729" s="2" t="str">
        <f>Hyperlink("https://www.diodes.com/datasheet/download/DMTH4011SPD.pdf")</f>
        <v>https://www.diodes.com/datasheet/download/DMTH4011SPD.pdf</v>
      </c>
      <c r="C1729" t="str">
        <f>Hyperlink("https://www.diodes.com/part/view/DMTH4011SPD","DMTH4011SPD")</f>
        <v>DMTH4011SPD</v>
      </c>
      <c r="D1729" t="s">
        <v>1572</v>
      </c>
      <c r="E1729" t="s">
        <v>27</v>
      </c>
      <c r="F1729" t="s">
        <v>28</v>
      </c>
      <c r="G1729" t="s">
        <v>40</v>
      </c>
      <c r="H1729" t="s">
        <v>30</v>
      </c>
      <c r="I1729">
        <v>40</v>
      </c>
      <c r="J1729">
        <v>20</v>
      </c>
      <c r="K1729">
        <v>11.1</v>
      </c>
      <c r="L1729">
        <v>42</v>
      </c>
      <c r="M1729">
        <v>2.6</v>
      </c>
      <c r="N1729">
        <v>37.5</v>
      </c>
      <c r="O1729">
        <v>15</v>
      </c>
      <c r="T1729">
        <v>4</v>
      </c>
      <c r="V1729">
        <v>10.6</v>
      </c>
      <c r="W1729">
        <v>805</v>
      </c>
      <c r="X1729">
        <v>20</v>
      </c>
      <c r="Y1729" t="s">
        <v>144</v>
      </c>
    </row>
    <row r="1730" spans="1:25">
      <c r="A1730" t="s">
        <v>2747</v>
      </c>
      <c r="B1730" s="2" t="str">
        <f>Hyperlink("https://www.diodes.com/datasheet/download/DMTH4011SPDQ.pdf")</f>
        <v>https://www.diodes.com/datasheet/download/DMTH4011SPDQ.pdf</v>
      </c>
      <c r="C1730" t="str">
        <f>Hyperlink("https://www.diodes.com/part/view/DMTH4011SPDQ","DMTH4011SPDQ")</f>
        <v>DMTH4011SPDQ</v>
      </c>
      <c r="D1730" t="s">
        <v>1572</v>
      </c>
      <c r="E1730" t="s">
        <v>27</v>
      </c>
      <c r="F1730" t="s">
        <v>37</v>
      </c>
      <c r="G1730" t="s">
        <v>40</v>
      </c>
      <c r="H1730" t="s">
        <v>30</v>
      </c>
      <c r="I1730">
        <v>40</v>
      </c>
      <c r="J1730">
        <v>20</v>
      </c>
      <c r="K1730">
        <v>11.1</v>
      </c>
      <c r="L1730">
        <v>42</v>
      </c>
      <c r="M1730">
        <v>2.6</v>
      </c>
      <c r="N1730">
        <v>37.5</v>
      </c>
      <c r="O1730">
        <v>15</v>
      </c>
      <c r="T1730">
        <v>4</v>
      </c>
      <c r="V1730">
        <v>10.6</v>
      </c>
      <c r="W1730">
        <v>805</v>
      </c>
      <c r="X1730">
        <v>20</v>
      </c>
      <c r="Y1730" t="s">
        <v>144</v>
      </c>
    </row>
    <row r="1731" spans="1:25">
      <c r="A1731" t="s">
        <v>2748</v>
      </c>
      <c r="B1731" s="2" t="str">
        <f>Hyperlink("https://www.diodes.com/datasheet/download/DMTH4011SPDWQ.pdf")</f>
        <v>https://www.diodes.com/datasheet/download/DMTH4011SPDWQ.pdf</v>
      </c>
      <c r="C1731" t="str">
        <f>Hyperlink("https://www.diodes.com/part/view/DMTH4011SPDWQ","DMTH4011SPDWQ")</f>
        <v>DMTH4011SPDWQ</v>
      </c>
      <c r="D1731" t="s">
        <v>2734</v>
      </c>
      <c r="E1731" t="s">
        <v>27</v>
      </c>
      <c r="F1731" t="s">
        <v>37</v>
      </c>
      <c r="G1731" t="s">
        <v>40</v>
      </c>
      <c r="H1731" t="s">
        <v>30</v>
      </c>
      <c r="I1731">
        <v>40</v>
      </c>
      <c r="J1731">
        <v>20</v>
      </c>
      <c r="K1731">
        <v>11.1</v>
      </c>
      <c r="L1731">
        <v>42</v>
      </c>
      <c r="M1731">
        <v>2.6</v>
      </c>
      <c r="N1731">
        <v>37.5</v>
      </c>
      <c r="O1731">
        <v>15</v>
      </c>
      <c r="S1731">
        <v>2</v>
      </c>
      <c r="T1731">
        <v>4</v>
      </c>
      <c r="V1731">
        <v>10.6</v>
      </c>
      <c r="W1731">
        <v>805</v>
      </c>
      <c r="X1731">
        <v>20</v>
      </c>
      <c r="Y1731" t="s">
        <v>168</v>
      </c>
    </row>
    <row r="1732" spans="1:25">
      <c r="A1732" t="s">
        <v>2749</v>
      </c>
      <c r="B1732" s="2" t="str">
        <f>Hyperlink("https://www.diodes.com/datasheet/download/DMTH4014LDVW.pdf")</f>
        <v>https://www.diodes.com/datasheet/download/DMTH4014LDVW.pdf</v>
      </c>
      <c r="C1732" t="str">
        <f>Hyperlink("https://www.diodes.com/part/view/DMTH4014LDVW","DMTH4014LDVW")</f>
        <v>DMTH4014LDVW</v>
      </c>
      <c r="D1732" t="s">
        <v>1555</v>
      </c>
      <c r="E1732" t="s">
        <v>30</v>
      </c>
      <c r="F1732" t="s">
        <v>28</v>
      </c>
      <c r="G1732" t="s">
        <v>40</v>
      </c>
      <c r="H1732" t="s">
        <v>30</v>
      </c>
      <c r="I1732">
        <v>40</v>
      </c>
      <c r="J1732">
        <v>20</v>
      </c>
      <c r="K1732">
        <v>10.2</v>
      </c>
      <c r="M1732">
        <v>2.6</v>
      </c>
      <c r="O1732">
        <v>15</v>
      </c>
      <c r="P1732">
        <v>25</v>
      </c>
      <c r="T1732">
        <v>3</v>
      </c>
      <c r="U1732">
        <v>5.7</v>
      </c>
      <c r="V1732">
        <v>11.2</v>
      </c>
      <c r="Y1732" t="s">
        <v>718</v>
      </c>
    </row>
    <row r="1733" spans="1:25">
      <c r="A1733" t="s">
        <v>2750</v>
      </c>
      <c r="B1733" s="2" t="str">
        <f>Hyperlink("https://www.diodes.com/datasheet/download/DMTH4014LDVWQ.pdf")</f>
        <v>https://www.diodes.com/datasheet/download/DMTH4014LDVWQ.pdf</v>
      </c>
      <c r="C1733" t="str">
        <f>Hyperlink("https://www.diodes.com/part/view/DMTH4014LDVWQ","DMTH4014LDVWQ")</f>
        <v>DMTH4014LDVWQ</v>
      </c>
      <c r="D1733" t="s">
        <v>1555</v>
      </c>
      <c r="E1733" t="s">
        <v>27</v>
      </c>
      <c r="F1733" t="s">
        <v>37</v>
      </c>
      <c r="G1733" t="s">
        <v>40</v>
      </c>
      <c r="H1733" t="s">
        <v>30</v>
      </c>
      <c r="I1733">
        <v>40</v>
      </c>
      <c r="J1733">
        <v>20</v>
      </c>
      <c r="K1733">
        <v>10.2</v>
      </c>
      <c r="L1733">
        <v>27.5</v>
      </c>
      <c r="M1733">
        <v>2.6</v>
      </c>
      <c r="N1733">
        <v>27.5</v>
      </c>
      <c r="O1733">
        <v>15</v>
      </c>
      <c r="P1733">
        <v>25</v>
      </c>
      <c r="T1733">
        <v>3</v>
      </c>
      <c r="U1733">
        <v>5.7</v>
      </c>
      <c r="V1733">
        <v>11.2</v>
      </c>
      <c r="W1733">
        <v>750</v>
      </c>
      <c r="X1733">
        <v>20</v>
      </c>
      <c r="Y1733" t="s">
        <v>718</v>
      </c>
    </row>
    <row r="1734" spans="1:25">
      <c r="A1734" t="s">
        <v>2751</v>
      </c>
      <c r="B1734" s="2" t="str">
        <f>Hyperlink("https://www.diodes.com/datasheet/download/DMTH4014LFVW.pdf")</f>
        <v>https://www.diodes.com/datasheet/download/DMTH4014LFVW.pdf</v>
      </c>
      <c r="C1734" t="str">
        <f>Hyperlink("https://www.diodes.com/part/view/DMTH4014LFVW","DMTH4014LFVW")</f>
        <v>DMTH4014LFVW</v>
      </c>
      <c r="D1734" t="s">
        <v>1314</v>
      </c>
      <c r="E1734" t="s">
        <v>30</v>
      </c>
      <c r="F1734" t="s">
        <v>28</v>
      </c>
      <c r="G1734" t="s">
        <v>29</v>
      </c>
      <c r="H1734" t="s">
        <v>30</v>
      </c>
      <c r="I1734">
        <v>40</v>
      </c>
      <c r="J1734">
        <v>20</v>
      </c>
      <c r="K1734">
        <v>11.5</v>
      </c>
      <c r="L1734">
        <v>49.8</v>
      </c>
      <c r="M1734">
        <v>3.1</v>
      </c>
      <c r="N1734">
        <v>49.8</v>
      </c>
      <c r="O1734">
        <v>13.7</v>
      </c>
      <c r="P1734">
        <v>26</v>
      </c>
      <c r="T1734">
        <v>3</v>
      </c>
      <c r="U1734">
        <v>5.7</v>
      </c>
      <c r="V1734">
        <v>11.2</v>
      </c>
      <c r="W1734">
        <v>750</v>
      </c>
      <c r="X1734">
        <v>20</v>
      </c>
      <c r="Y1734" t="s">
        <v>718</v>
      </c>
    </row>
    <row r="1735" spans="1:25">
      <c r="A1735" t="s">
        <v>2752</v>
      </c>
      <c r="B1735" s="2" t="str">
        <f>Hyperlink("https://www.diodes.com/datasheet/download/DMTH4014LFVWQ.pdf")</f>
        <v>https://www.diodes.com/datasheet/download/DMTH4014LFVWQ.pdf</v>
      </c>
      <c r="C1735" t="str">
        <f>Hyperlink("https://www.diodes.com/part/view/DMTH4014LFVWQ","DMTH4014LFVWQ")</f>
        <v>DMTH4014LFVWQ</v>
      </c>
      <c r="D1735" t="s">
        <v>1314</v>
      </c>
      <c r="E1735" t="s">
        <v>27</v>
      </c>
      <c r="F1735" t="s">
        <v>37</v>
      </c>
      <c r="G1735" t="s">
        <v>29</v>
      </c>
      <c r="H1735" t="s">
        <v>30</v>
      </c>
      <c r="I1735">
        <v>40</v>
      </c>
      <c r="J1735">
        <v>20</v>
      </c>
      <c r="K1735">
        <v>11.5</v>
      </c>
      <c r="L1735">
        <v>49.8</v>
      </c>
      <c r="M1735">
        <v>3.1</v>
      </c>
      <c r="N1735">
        <v>49.8</v>
      </c>
      <c r="O1735">
        <v>13.7</v>
      </c>
      <c r="P1735">
        <v>26</v>
      </c>
      <c r="T1735">
        <v>3</v>
      </c>
      <c r="U1735">
        <v>5.7</v>
      </c>
      <c r="V1735">
        <v>11.2</v>
      </c>
      <c r="W1735">
        <v>750</v>
      </c>
      <c r="X1735">
        <v>20</v>
      </c>
      <c r="Y1735" t="s">
        <v>718</v>
      </c>
    </row>
    <row r="1736" spans="1:25">
      <c r="A1736" t="s">
        <v>2753</v>
      </c>
      <c r="B1736" s="2" t="str">
        <f>Hyperlink("https://www.diodes.com/datasheet/download/DMTH4014LPD.pdf")</f>
        <v>https://www.diodes.com/datasheet/download/DMTH4014LPD.pdf</v>
      </c>
      <c r="C1736" t="str">
        <f>Hyperlink("https://www.diodes.com/part/view/DMTH4014LPD","DMTH4014LPD")</f>
        <v>DMTH4014LPD</v>
      </c>
      <c r="D1736" t="s">
        <v>39</v>
      </c>
      <c r="E1736" t="s">
        <v>27</v>
      </c>
      <c r="F1736" t="s">
        <v>28</v>
      </c>
      <c r="G1736" t="s">
        <v>40</v>
      </c>
      <c r="H1736" t="s">
        <v>30</v>
      </c>
      <c r="I1736">
        <v>40</v>
      </c>
      <c r="J1736">
        <v>20</v>
      </c>
      <c r="K1736">
        <v>10.6</v>
      </c>
      <c r="L1736">
        <v>43.6</v>
      </c>
      <c r="M1736">
        <v>2.41</v>
      </c>
      <c r="N1736">
        <v>42.8</v>
      </c>
      <c r="O1736">
        <v>15</v>
      </c>
      <c r="P1736">
        <v>25</v>
      </c>
      <c r="T1736">
        <v>3</v>
      </c>
      <c r="U1736">
        <v>5.2</v>
      </c>
      <c r="V1736">
        <v>10.2</v>
      </c>
      <c r="W1736">
        <v>733</v>
      </c>
      <c r="X1736">
        <v>20</v>
      </c>
      <c r="Y1736" t="s">
        <v>144</v>
      </c>
    </row>
    <row r="1737" spans="1:25">
      <c r="A1737" t="s">
        <v>2754</v>
      </c>
      <c r="B1737" s="2" t="str">
        <f>Hyperlink("https://www.diodes.com/datasheet/download/DMTH4014LPDQ.pdf")</f>
        <v>https://www.diodes.com/datasheet/download/DMTH4014LPDQ.pdf</v>
      </c>
      <c r="C1737" t="str">
        <f>Hyperlink("https://www.diodes.com/part/view/DMTH4014LPDQ","DMTH4014LPDQ")</f>
        <v>DMTH4014LPDQ</v>
      </c>
      <c r="D1737" t="s">
        <v>1572</v>
      </c>
      <c r="E1737" t="s">
        <v>27</v>
      </c>
      <c r="F1737" t="s">
        <v>37</v>
      </c>
      <c r="G1737" t="s">
        <v>40</v>
      </c>
      <c r="H1737" t="s">
        <v>30</v>
      </c>
      <c r="I1737">
        <v>40</v>
      </c>
      <c r="J1737">
        <v>20</v>
      </c>
      <c r="K1737">
        <v>10.6</v>
      </c>
      <c r="L1737">
        <v>43.6</v>
      </c>
      <c r="M1737">
        <v>2.41</v>
      </c>
      <c r="N1737">
        <v>42.8</v>
      </c>
      <c r="O1737">
        <v>15</v>
      </c>
      <c r="P1737">
        <v>25</v>
      </c>
      <c r="T1737">
        <v>3</v>
      </c>
      <c r="U1737">
        <v>5.2</v>
      </c>
      <c r="V1737">
        <v>10.2</v>
      </c>
      <c r="W1737">
        <v>733</v>
      </c>
      <c r="X1737">
        <v>20</v>
      </c>
      <c r="Y1737" t="s">
        <v>144</v>
      </c>
    </row>
    <row r="1738" spans="1:25">
      <c r="A1738" t="s">
        <v>2755</v>
      </c>
      <c r="B1738" s="2" t="str">
        <f>Hyperlink("https://www.diodes.com/datasheet/download/DMTH4014LPDWQ.pdf")</f>
        <v>https://www.diodes.com/datasheet/download/DMTH4014LPDWQ.pdf</v>
      </c>
      <c r="C1738" t="str">
        <f>Hyperlink("https://www.diodes.com/part/view/DMTH4014LPDWQ","DMTH4014LPDWQ")</f>
        <v>DMTH4014LPDWQ</v>
      </c>
      <c r="D1738" t="s">
        <v>2734</v>
      </c>
      <c r="E1738" t="s">
        <v>27</v>
      </c>
      <c r="F1738" t="s">
        <v>37</v>
      </c>
      <c r="G1738" t="s">
        <v>40</v>
      </c>
      <c r="H1738" t="s">
        <v>30</v>
      </c>
      <c r="I1738">
        <v>40</v>
      </c>
      <c r="J1738">
        <v>20</v>
      </c>
      <c r="K1738">
        <v>10.6</v>
      </c>
      <c r="L1738">
        <v>43.6</v>
      </c>
      <c r="M1738">
        <v>2.4</v>
      </c>
      <c r="N1738">
        <v>42.8</v>
      </c>
      <c r="O1738">
        <v>15</v>
      </c>
      <c r="P1738">
        <v>25</v>
      </c>
      <c r="S1738">
        <v>1</v>
      </c>
      <c r="T1738">
        <v>3</v>
      </c>
      <c r="U1738">
        <v>5.2</v>
      </c>
      <c r="V1738">
        <v>10.2</v>
      </c>
      <c r="W1738">
        <v>733</v>
      </c>
      <c r="X1738">
        <v>20</v>
      </c>
      <c r="Y1738" t="s">
        <v>168</v>
      </c>
    </row>
    <row r="1739" spans="1:25">
      <c r="A1739" t="s">
        <v>2756</v>
      </c>
      <c r="B1739" s="2" t="str">
        <f>Hyperlink("https://www.diodes.com/datasheet/download/DMTH4014LPSW.pdf")</f>
        <v>https://www.diodes.com/datasheet/download/DMTH4014LPSW.pdf</v>
      </c>
      <c r="C1739" t="str">
        <f>Hyperlink("https://www.diodes.com/part/view/DMTH4014LPSW","DMTH4014LPSW")</f>
        <v>DMTH4014LPSW</v>
      </c>
      <c r="D1739" t="s">
        <v>1555</v>
      </c>
      <c r="E1739" t="s">
        <v>30</v>
      </c>
      <c r="F1739" t="s">
        <v>28</v>
      </c>
      <c r="G1739" t="s">
        <v>29</v>
      </c>
      <c r="H1739" t="s">
        <v>30</v>
      </c>
      <c r="I1739">
        <v>40</v>
      </c>
      <c r="J1739">
        <v>20</v>
      </c>
      <c r="L1739">
        <v>43.5</v>
      </c>
      <c r="M1739">
        <v>4</v>
      </c>
      <c r="N1739">
        <v>43.5</v>
      </c>
      <c r="O1739">
        <v>14.5</v>
      </c>
      <c r="P1739">
        <v>25</v>
      </c>
      <c r="T1739">
        <v>3</v>
      </c>
      <c r="U1739">
        <v>5.7</v>
      </c>
      <c r="V1739">
        <v>11.2</v>
      </c>
      <c r="W1739">
        <v>750</v>
      </c>
      <c r="X1739">
        <v>20</v>
      </c>
      <c r="Y1739" t="s">
        <v>907</v>
      </c>
    </row>
    <row r="1740" spans="1:25">
      <c r="A1740" t="s">
        <v>2757</v>
      </c>
      <c r="B1740" s="2" t="str">
        <f>Hyperlink("https://www.diodes.com/datasheet/download/DMTH4014LPSWQ.pdf")</f>
        <v>https://www.diodes.com/datasheet/download/DMTH4014LPSWQ.pdf</v>
      </c>
      <c r="C1740" t="str">
        <f>Hyperlink("https://www.diodes.com/part/view/DMTH4014LPSWQ","DMTH4014LPSWQ")</f>
        <v>DMTH4014LPSWQ</v>
      </c>
      <c r="D1740" t="s">
        <v>1555</v>
      </c>
      <c r="E1740" t="s">
        <v>27</v>
      </c>
      <c r="F1740" t="s">
        <v>37</v>
      </c>
      <c r="G1740" t="s">
        <v>29</v>
      </c>
      <c r="H1740" t="s">
        <v>30</v>
      </c>
      <c r="I1740">
        <v>40</v>
      </c>
      <c r="J1740">
        <v>20</v>
      </c>
      <c r="L1740">
        <v>43.5</v>
      </c>
      <c r="M1740">
        <v>4</v>
      </c>
      <c r="N1740">
        <v>43.5</v>
      </c>
      <c r="O1740">
        <v>14.5</v>
      </c>
      <c r="P1740">
        <v>25</v>
      </c>
      <c r="T1740">
        <v>3</v>
      </c>
      <c r="U1740">
        <v>5.7</v>
      </c>
      <c r="V1740">
        <v>11.2</v>
      </c>
      <c r="W1740">
        <v>750</v>
      </c>
      <c r="X1740">
        <v>20</v>
      </c>
      <c r="Y1740" t="s">
        <v>907</v>
      </c>
    </row>
    <row r="1741" spans="1:25">
      <c r="A1741" t="s">
        <v>2758</v>
      </c>
      <c r="B1741" s="2" t="str">
        <f>Hyperlink("https://www.diodes.com/datasheet/download/DMTH4014SPSW.pdf")</f>
        <v>https://www.diodes.com/datasheet/download/DMTH4014SPSW.pdf</v>
      </c>
      <c r="C1741" t="str">
        <f>Hyperlink("https://www.diodes.com/part/view/DMTH4014SPSW","DMTH4014SPSW")</f>
        <v>DMTH4014SPSW</v>
      </c>
      <c r="D1741" t="s">
        <v>1555</v>
      </c>
      <c r="E1741" t="s">
        <v>30</v>
      </c>
      <c r="F1741" t="s">
        <v>28</v>
      </c>
      <c r="G1741" t="s">
        <v>29</v>
      </c>
      <c r="H1741" t="s">
        <v>30</v>
      </c>
      <c r="I1741">
        <v>40</v>
      </c>
      <c r="J1741">
        <v>20</v>
      </c>
      <c r="L1741">
        <v>43.5</v>
      </c>
      <c r="M1741">
        <v>4</v>
      </c>
      <c r="N1741">
        <v>43.5</v>
      </c>
      <c r="O1741">
        <v>14.8</v>
      </c>
      <c r="T1741">
        <v>4</v>
      </c>
      <c r="V1741">
        <v>10.6</v>
      </c>
      <c r="W1741">
        <v>805</v>
      </c>
      <c r="X1741">
        <v>20</v>
      </c>
      <c r="Y1741" t="s">
        <v>907</v>
      </c>
    </row>
    <row r="1742" spans="1:25">
      <c r="A1742" t="s">
        <v>2759</v>
      </c>
      <c r="B1742" s="2" t="str">
        <f>Hyperlink("https://www.diodes.com/datasheet/download/DMTH4014SPSWQ.pdf")</f>
        <v>https://www.diodes.com/datasheet/download/DMTH4014SPSWQ.pdf</v>
      </c>
      <c r="C1742" t="str">
        <f>Hyperlink("https://www.diodes.com/part/view/DMTH4014SPSWQ","DMTH4014SPSWQ")</f>
        <v>DMTH4014SPSWQ</v>
      </c>
      <c r="D1742" t="s">
        <v>1555</v>
      </c>
      <c r="E1742" t="s">
        <v>27</v>
      </c>
      <c r="F1742" t="s">
        <v>37</v>
      </c>
      <c r="G1742" t="s">
        <v>29</v>
      </c>
      <c r="H1742" t="s">
        <v>30</v>
      </c>
      <c r="I1742">
        <v>40</v>
      </c>
      <c r="J1742">
        <v>20</v>
      </c>
      <c r="L1742">
        <v>43.5</v>
      </c>
      <c r="M1742">
        <v>4</v>
      </c>
      <c r="N1742">
        <v>43.5</v>
      </c>
      <c r="O1742">
        <v>14.8</v>
      </c>
      <c r="T1742">
        <v>4</v>
      </c>
      <c r="V1742">
        <v>10.6</v>
      </c>
      <c r="W1742">
        <v>805</v>
      </c>
      <c r="X1742">
        <v>20</v>
      </c>
      <c r="Y1742" t="s">
        <v>907</v>
      </c>
    </row>
    <row r="1743" spans="1:25">
      <c r="A1743" t="s">
        <v>2760</v>
      </c>
      <c r="B1743" s="2" t="str">
        <f>Hyperlink("https://www.diodes.com/datasheet/download/DMTH41M2SPS.pdf")</f>
        <v>https://www.diodes.com/datasheet/download/DMTH41M2SPS.pdf</v>
      </c>
      <c r="C1743" t="str">
        <f>Hyperlink("https://www.diodes.com/part/view/DMTH41M2SPS","DMTH41M2SPS")</f>
        <v>DMTH41M2SPS</v>
      </c>
      <c r="D1743" t="s">
        <v>1555</v>
      </c>
      <c r="E1743" t="s">
        <v>30</v>
      </c>
      <c r="F1743" t="s">
        <v>28</v>
      </c>
      <c r="G1743" t="s">
        <v>29</v>
      </c>
      <c r="H1743" t="s">
        <v>30</v>
      </c>
      <c r="I1743">
        <v>40</v>
      </c>
      <c r="J1743">
        <v>20</v>
      </c>
      <c r="L1743">
        <v>225</v>
      </c>
      <c r="M1743">
        <v>3.4</v>
      </c>
      <c r="N1743">
        <v>158</v>
      </c>
      <c r="O1743">
        <v>1.2</v>
      </c>
      <c r="S1743">
        <v>2</v>
      </c>
      <c r="T1743">
        <v>4</v>
      </c>
      <c r="V1743">
        <v>138</v>
      </c>
      <c r="W1743">
        <v>11085</v>
      </c>
      <c r="X1743">
        <v>20</v>
      </c>
      <c r="Y1743" t="s">
        <v>1691</v>
      </c>
    </row>
    <row r="1744" spans="1:25">
      <c r="A1744" t="s">
        <v>2761</v>
      </c>
      <c r="B1744" s="2" t="str">
        <f>Hyperlink("https://www.diodes.com/datasheet/download/DMTH41M2SPSQ.pdf")</f>
        <v>https://www.diodes.com/datasheet/download/DMTH41M2SPSQ.pdf</v>
      </c>
      <c r="C1744" t="str">
        <f>Hyperlink("https://www.diodes.com/part/view/DMTH41M2SPSQ","DMTH41M2SPSQ")</f>
        <v>DMTH41M2SPSQ</v>
      </c>
      <c r="D1744" t="s">
        <v>1555</v>
      </c>
      <c r="E1744" t="s">
        <v>27</v>
      </c>
      <c r="F1744" t="s">
        <v>37</v>
      </c>
      <c r="G1744" t="s">
        <v>29</v>
      </c>
      <c r="H1744" t="s">
        <v>30</v>
      </c>
      <c r="I1744">
        <v>40</v>
      </c>
      <c r="J1744">
        <v>20</v>
      </c>
      <c r="L1744">
        <v>225</v>
      </c>
      <c r="M1744">
        <v>3.4</v>
      </c>
      <c r="N1744">
        <v>158</v>
      </c>
      <c r="O1744">
        <v>1.2</v>
      </c>
      <c r="S1744">
        <v>2</v>
      </c>
      <c r="T1744">
        <v>4</v>
      </c>
      <c r="V1744">
        <v>138</v>
      </c>
      <c r="W1744">
        <v>11085</v>
      </c>
      <c r="X1744">
        <v>20</v>
      </c>
      <c r="Y1744" t="s">
        <v>1691</v>
      </c>
    </row>
    <row r="1745" spans="1:25">
      <c r="A1745" t="s">
        <v>2762</v>
      </c>
      <c r="B1745" s="2" t="str">
        <f>Hyperlink("https://www.diodes.com/datasheet/download/DMTH41M3LPSW.pdf")</f>
        <v>https://www.diodes.com/datasheet/download/DMTH41M3LPSW.pdf</v>
      </c>
      <c r="C1745" t="str">
        <f>Hyperlink("https://www.diodes.com/part/view/DMTH41M3LPSW","DMTH41M3LPSW")</f>
        <v>DMTH41M3LPSW</v>
      </c>
      <c r="D1745" t="s">
        <v>2709</v>
      </c>
      <c r="E1745" t="s">
        <v>30</v>
      </c>
      <c r="F1745" t="s">
        <v>28</v>
      </c>
      <c r="G1745" t="s">
        <v>29</v>
      </c>
      <c r="H1745" t="s">
        <v>30</v>
      </c>
      <c r="I1745">
        <v>40</v>
      </c>
      <c r="J1745">
        <v>20</v>
      </c>
      <c r="L1745">
        <v>214</v>
      </c>
      <c r="M1745">
        <v>3.3</v>
      </c>
      <c r="N1745">
        <v>115</v>
      </c>
      <c r="O1745">
        <v>1.5</v>
      </c>
      <c r="S1745">
        <v>1</v>
      </c>
      <c r="T1745">
        <v>3</v>
      </c>
      <c r="V1745">
        <v>62</v>
      </c>
      <c r="W1745">
        <v>5002</v>
      </c>
      <c r="X1745">
        <v>20</v>
      </c>
      <c r="Y1745" t="s">
        <v>1546</v>
      </c>
    </row>
    <row r="1746" spans="1:25">
      <c r="A1746" t="s">
        <v>2763</v>
      </c>
      <c r="B1746" s="2" t="str">
        <f>Hyperlink("https://www.diodes.com/datasheet/download/DMTH41M3LPSWQ.pdf")</f>
        <v>https://www.diodes.com/datasheet/download/DMTH41M3LPSWQ.pdf</v>
      </c>
      <c r="C1746" t="str">
        <f>Hyperlink("https://www.diodes.com/part/view/DMTH41M3LPSWQ","DMTH41M3LPSWQ")</f>
        <v>DMTH41M3LPSWQ</v>
      </c>
      <c r="D1746" t="s">
        <v>2709</v>
      </c>
      <c r="E1746" t="s">
        <v>27</v>
      </c>
      <c r="F1746" t="s">
        <v>37</v>
      </c>
      <c r="G1746" t="s">
        <v>29</v>
      </c>
      <c r="H1746" t="s">
        <v>30</v>
      </c>
      <c r="I1746">
        <v>40</v>
      </c>
      <c r="J1746">
        <v>20</v>
      </c>
      <c r="L1746">
        <v>214</v>
      </c>
      <c r="M1746">
        <v>3.3</v>
      </c>
      <c r="N1746">
        <v>115</v>
      </c>
      <c r="O1746">
        <v>1.5</v>
      </c>
      <c r="S1746">
        <v>1</v>
      </c>
      <c r="T1746">
        <v>3</v>
      </c>
      <c r="V1746">
        <v>62</v>
      </c>
      <c r="W1746">
        <v>5002</v>
      </c>
      <c r="X1746">
        <v>20</v>
      </c>
      <c r="Y1746" t="s">
        <v>1546</v>
      </c>
    </row>
    <row r="1747" spans="1:25">
      <c r="A1747" t="s">
        <v>2764</v>
      </c>
      <c r="B1747" s="2" t="str">
        <f>Hyperlink("https://www.diodes.com/datasheet/download/DMTH41M3SPSW.pdf")</f>
        <v>https://www.diodes.com/datasheet/download/DMTH41M3SPSW.pdf</v>
      </c>
      <c r="C1747" t="str">
        <f>Hyperlink("https://www.diodes.com/part/view/DMTH41M3SPSW","DMTH41M3SPSW")</f>
        <v>DMTH41M3SPSW</v>
      </c>
      <c r="D1747" t="s">
        <v>1569</v>
      </c>
      <c r="E1747" t="s">
        <v>27</v>
      </c>
      <c r="F1747" t="s">
        <v>28</v>
      </c>
      <c r="G1747" t="s">
        <v>29</v>
      </c>
      <c r="H1747" t="s">
        <v>30</v>
      </c>
      <c r="I1747">
        <v>40</v>
      </c>
      <c r="J1747">
        <v>20</v>
      </c>
      <c r="L1747">
        <v>191</v>
      </c>
      <c r="M1747">
        <v>3.75</v>
      </c>
      <c r="N1747">
        <v>114</v>
      </c>
      <c r="O1747">
        <v>1.7</v>
      </c>
      <c r="S1747">
        <v>2</v>
      </c>
      <c r="T1747">
        <v>4</v>
      </c>
      <c r="V1747">
        <v>61</v>
      </c>
      <c r="W1747">
        <v>5433</v>
      </c>
      <c r="X1747">
        <v>20</v>
      </c>
      <c r="Y1747" t="s">
        <v>907</v>
      </c>
    </row>
    <row r="1748" spans="1:25">
      <c r="A1748" t="s">
        <v>2765</v>
      </c>
      <c r="B1748" s="2" t="str">
        <f>Hyperlink("https://www.diodes.com/datasheet/download/DMTH41M3SPSWQ.pdf")</f>
        <v>https://www.diodes.com/datasheet/download/DMTH41M3SPSWQ.pdf</v>
      </c>
      <c r="C1748" t="str">
        <f>Hyperlink("https://www.diodes.com/part/view/DMTH41M3SPSWQ","DMTH41M3SPSWQ")</f>
        <v>DMTH41M3SPSWQ</v>
      </c>
      <c r="D1748" t="s">
        <v>1569</v>
      </c>
      <c r="E1748" t="s">
        <v>27</v>
      </c>
      <c r="F1748" t="s">
        <v>37</v>
      </c>
      <c r="G1748" t="s">
        <v>29</v>
      </c>
      <c r="H1748" t="s">
        <v>30</v>
      </c>
      <c r="I1748">
        <v>40</v>
      </c>
      <c r="J1748">
        <v>20</v>
      </c>
      <c r="L1748">
        <v>191</v>
      </c>
      <c r="M1748">
        <v>3.75</v>
      </c>
      <c r="N1748">
        <v>114</v>
      </c>
      <c r="O1748">
        <v>1.7</v>
      </c>
      <c r="S1748">
        <v>2</v>
      </c>
      <c r="T1748">
        <v>4</v>
      </c>
      <c r="V1748">
        <v>61</v>
      </c>
      <c r="W1748">
        <v>5433</v>
      </c>
      <c r="X1748">
        <v>20</v>
      </c>
      <c r="Y1748" t="s">
        <v>907</v>
      </c>
    </row>
    <row r="1749" spans="1:25">
      <c r="A1749" t="s">
        <v>2766</v>
      </c>
      <c r="B1749" s="2" t="str">
        <f>Hyperlink("https://www.diodes.com/datasheet/download/DMTH41M8SPS.pdf")</f>
        <v>https://www.diodes.com/datasheet/download/DMTH41M8SPS.pdf</v>
      </c>
      <c r="C1749" t="str">
        <f>Hyperlink("https://www.diodes.com/part/view/DMTH41M8SPS","DMTH41M8SPS")</f>
        <v>DMTH41M8SPS</v>
      </c>
      <c r="D1749" t="s">
        <v>1555</v>
      </c>
      <c r="E1749" t="s">
        <v>27</v>
      </c>
      <c r="F1749" t="s">
        <v>28</v>
      </c>
      <c r="G1749" t="s">
        <v>29</v>
      </c>
      <c r="H1749" t="s">
        <v>30</v>
      </c>
      <c r="I1749">
        <v>40</v>
      </c>
      <c r="J1749">
        <v>20</v>
      </c>
      <c r="L1749">
        <v>100</v>
      </c>
      <c r="M1749">
        <v>3.03</v>
      </c>
      <c r="N1749">
        <v>150</v>
      </c>
      <c r="O1749">
        <v>1.8</v>
      </c>
      <c r="T1749">
        <v>4</v>
      </c>
      <c r="V1749">
        <v>79.5</v>
      </c>
      <c r="W1749">
        <v>6968</v>
      </c>
      <c r="X1749">
        <v>20</v>
      </c>
      <c r="Y1749" t="s">
        <v>907</v>
      </c>
    </row>
    <row r="1750" spans="1:25">
      <c r="A1750" t="s">
        <v>2767</v>
      </c>
      <c r="B1750" s="2" t="str">
        <f>Hyperlink("https://www.diodes.com/datasheet/download/DMTH41M8SPSQ.pdf")</f>
        <v>https://www.diodes.com/datasheet/download/DMTH41M8SPSQ.pdf</v>
      </c>
      <c r="C1750" t="str">
        <f>Hyperlink("https://www.diodes.com/part/view/DMTH41M8SPSQ","DMTH41M8SPSQ")</f>
        <v>DMTH41M8SPSQ</v>
      </c>
      <c r="D1750" t="s">
        <v>1555</v>
      </c>
      <c r="E1750" t="s">
        <v>27</v>
      </c>
      <c r="F1750" t="s">
        <v>37</v>
      </c>
      <c r="G1750" t="s">
        <v>29</v>
      </c>
      <c r="H1750" t="s">
        <v>30</v>
      </c>
      <c r="I1750">
        <v>40</v>
      </c>
      <c r="J1750">
        <v>20</v>
      </c>
      <c r="L1750">
        <v>100</v>
      </c>
      <c r="M1750">
        <v>3.03</v>
      </c>
      <c r="N1750">
        <v>150</v>
      </c>
      <c r="O1750">
        <v>1.8</v>
      </c>
      <c r="T1750">
        <v>4</v>
      </c>
      <c r="V1750">
        <v>79.5</v>
      </c>
      <c r="W1750">
        <v>6968</v>
      </c>
      <c r="X1750">
        <v>20</v>
      </c>
      <c r="Y1750" t="s">
        <v>907</v>
      </c>
    </row>
    <row r="1751" spans="1:25">
      <c r="A1751" t="s">
        <v>2768</v>
      </c>
      <c r="B1751" s="2" t="str">
        <f>Hyperlink("https://www.diodes.com/datasheet/download/DMTH42M4SPS.pdf")</f>
        <v>https://www.diodes.com/datasheet/download/DMTH42M4SPS.pdf</v>
      </c>
      <c r="C1751" t="str">
        <f>Hyperlink("https://www.diodes.com/part/view/DMTH42M4SPS","DMTH42M4SPS")</f>
        <v>DMTH42M4SPS</v>
      </c>
      <c r="D1751" t="s">
        <v>1555</v>
      </c>
      <c r="E1751" t="s">
        <v>30</v>
      </c>
      <c r="F1751" t="s">
        <v>28</v>
      </c>
      <c r="G1751" t="s">
        <v>29</v>
      </c>
      <c r="H1751" t="s">
        <v>30</v>
      </c>
      <c r="I1751">
        <v>40</v>
      </c>
      <c r="J1751">
        <v>20</v>
      </c>
      <c r="L1751">
        <v>200</v>
      </c>
      <c r="M1751">
        <v>3.06</v>
      </c>
      <c r="N1751">
        <v>150</v>
      </c>
      <c r="O1751">
        <v>2.4</v>
      </c>
      <c r="S1751">
        <v>2</v>
      </c>
      <c r="T1751">
        <v>4</v>
      </c>
      <c r="V1751">
        <v>79.5</v>
      </c>
      <c r="W1751">
        <v>6968</v>
      </c>
      <c r="X1751">
        <v>20</v>
      </c>
      <c r="Y1751" t="s">
        <v>1691</v>
      </c>
    </row>
    <row r="1752" spans="1:25">
      <c r="A1752" t="s">
        <v>2769</v>
      </c>
      <c r="B1752" s="2" t="str">
        <f>Hyperlink("https://www.diodes.com/datasheet/download/DMTH42M4SPSQ.pdf")</f>
        <v>https://www.diodes.com/datasheet/download/DMTH42M4SPSQ.pdf</v>
      </c>
      <c r="C1752" t="str">
        <f>Hyperlink("https://www.diodes.com/part/view/DMTH42M4SPSQ","DMTH42M4SPSQ")</f>
        <v>DMTH42M4SPSQ</v>
      </c>
      <c r="D1752" t="s">
        <v>2770</v>
      </c>
      <c r="E1752" t="s">
        <v>27</v>
      </c>
      <c r="F1752" t="s">
        <v>37</v>
      </c>
      <c r="G1752" t="s">
        <v>29</v>
      </c>
      <c r="H1752" t="s">
        <v>30</v>
      </c>
      <c r="I1752">
        <v>40</v>
      </c>
      <c r="J1752">
        <v>20</v>
      </c>
      <c r="L1752">
        <v>200</v>
      </c>
      <c r="M1752">
        <v>3.06</v>
      </c>
      <c r="N1752">
        <v>150</v>
      </c>
      <c r="O1752">
        <v>2.4</v>
      </c>
      <c r="S1752">
        <v>2</v>
      </c>
      <c r="T1752">
        <v>4</v>
      </c>
      <c r="V1752">
        <v>79.5</v>
      </c>
      <c r="W1752">
        <v>6968</v>
      </c>
      <c r="X1752">
        <v>20</v>
      </c>
      <c r="Y1752" t="s">
        <v>1691</v>
      </c>
    </row>
    <row r="1753" spans="1:25">
      <c r="A1753" t="s">
        <v>2771</v>
      </c>
      <c r="B1753" s="2" t="str">
        <f>Hyperlink("https://www.diodes.com/datasheet/download/DMTH42M5LPSW.pdf")</f>
        <v>https://www.diodes.com/datasheet/download/DMTH42M5LPSW.pdf</v>
      </c>
      <c r="C1753" t="str">
        <f>Hyperlink("https://www.diodes.com/part/view/DMTH42M5LPSW","DMTH42M5LPSW")</f>
        <v>DMTH42M5LPSW</v>
      </c>
      <c r="D1753" t="s">
        <v>2709</v>
      </c>
      <c r="E1753" t="s">
        <v>30</v>
      </c>
      <c r="F1753" t="s">
        <v>28</v>
      </c>
      <c r="G1753" t="s">
        <v>29</v>
      </c>
      <c r="H1753" t="s">
        <v>30</v>
      </c>
      <c r="I1753">
        <v>40</v>
      </c>
      <c r="J1753">
        <v>20</v>
      </c>
      <c r="L1753">
        <v>142</v>
      </c>
      <c r="M1753">
        <v>3.72</v>
      </c>
      <c r="N1753">
        <v>89.8</v>
      </c>
      <c r="O1753">
        <v>2.5</v>
      </c>
      <c r="S1753">
        <v>1</v>
      </c>
      <c r="T1753">
        <v>2.5</v>
      </c>
      <c r="V1753">
        <v>32</v>
      </c>
      <c r="W1753">
        <v>2246</v>
      </c>
      <c r="X1753">
        <v>20</v>
      </c>
      <c r="Y1753" t="s">
        <v>1546</v>
      </c>
    </row>
    <row r="1754" spans="1:25">
      <c r="A1754" t="s">
        <v>2772</v>
      </c>
      <c r="B1754" s="2" t="str">
        <f>Hyperlink("https://www.diodes.com/datasheet/download/DMTH42M5LPSWQ.pdf")</f>
        <v>https://www.diodes.com/datasheet/download/DMTH42M5LPSWQ.pdf</v>
      </c>
      <c r="C1754" t="str">
        <f>Hyperlink("https://www.diodes.com/part/view/DMTH42M5LPSWQ","DMTH42M5LPSWQ")</f>
        <v>DMTH42M5LPSWQ</v>
      </c>
      <c r="D1754" t="s">
        <v>2709</v>
      </c>
      <c r="E1754" t="s">
        <v>27</v>
      </c>
      <c r="F1754" t="s">
        <v>37</v>
      </c>
      <c r="G1754" t="s">
        <v>29</v>
      </c>
      <c r="H1754" t="s">
        <v>30</v>
      </c>
      <c r="I1754">
        <v>40</v>
      </c>
      <c r="J1754">
        <v>20</v>
      </c>
      <c r="L1754">
        <v>142</v>
      </c>
      <c r="M1754">
        <v>3.72</v>
      </c>
      <c r="N1754">
        <v>89.8</v>
      </c>
      <c r="O1754">
        <v>2.5</v>
      </c>
      <c r="S1754">
        <v>1</v>
      </c>
      <c r="T1754">
        <v>2.5</v>
      </c>
      <c r="V1754">
        <v>32</v>
      </c>
      <c r="W1754">
        <v>2246</v>
      </c>
      <c r="X1754">
        <v>20</v>
      </c>
      <c r="Y1754" t="s">
        <v>1546</v>
      </c>
    </row>
    <row r="1755" spans="1:25">
      <c r="A1755" t="s">
        <v>2773</v>
      </c>
      <c r="B1755" s="2" t="str">
        <f>Hyperlink("https://www.diodes.com/datasheet/download/DMTH43M7LFG.pdf")</f>
        <v>https://www.diodes.com/datasheet/download/DMTH43M7LFG.pdf</v>
      </c>
      <c r="C1755" t="str">
        <f>Hyperlink("https://www.diodes.com/part/view/DMTH43M7LFG","DMTH43M7LFG")</f>
        <v>DMTH43M7LFG</v>
      </c>
      <c r="D1755" t="s">
        <v>2709</v>
      </c>
      <c r="E1755" t="s">
        <v>30</v>
      </c>
      <c r="F1755" t="s">
        <v>28</v>
      </c>
      <c r="G1755" t="s">
        <v>29</v>
      </c>
      <c r="H1755" t="s">
        <v>30</v>
      </c>
      <c r="I1755">
        <v>40</v>
      </c>
      <c r="J1755">
        <v>20</v>
      </c>
      <c r="L1755">
        <v>100</v>
      </c>
      <c r="M1755">
        <v>3.5</v>
      </c>
      <c r="N1755">
        <v>65.2</v>
      </c>
      <c r="O1755">
        <v>3</v>
      </c>
      <c r="P1755">
        <v>5</v>
      </c>
      <c r="S1755">
        <v>1</v>
      </c>
      <c r="T1755">
        <v>2.5</v>
      </c>
      <c r="V1755">
        <v>30</v>
      </c>
      <c r="W1755">
        <v>2182</v>
      </c>
      <c r="X1755">
        <v>20</v>
      </c>
      <c r="Y1755" t="s">
        <v>718</v>
      </c>
    </row>
    <row r="1756" spans="1:25">
      <c r="A1756" t="s">
        <v>2774</v>
      </c>
      <c r="B1756" s="2" t="str">
        <f>Hyperlink("https://www.diodes.com/datasheet/download/DMTH43M7LFGQ.pdf")</f>
        <v>https://www.diodes.com/datasheet/download/DMTH43M7LFGQ.pdf</v>
      </c>
      <c r="C1756" t="str">
        <f>Hyperlink("https://www.diodes.com/part/view/DMTH43M7LFGQ","DMTH43M7LFGQ")</f>
        <v>DMTH43M7LFGQ</v>
      </c>
      <c r="D1756" t="s">
        <v>2709</v>
      </c>
      <c r="E1756" t="s">
        <v>27</v>
      </c>
      <c r="F1756" t="s">
        <v>37</v>
      </c>
      <c r="G1756" t="s">
        <v>29</v>
      </c>
      <c r="H1756" t="s">
        <v>30</v>
      </c>
      <c r="I1756">
        <v>40</v>
      </c>
      <c r="J1756">
        <v>20</v>
      </c>
      <c r="L1756">
        <v>100</v>
      </c>
      <c r="M1756">
        <v>3.5</v>
      </c>
      <c r="N1756">
        <v>65.2</v>
      </c>
      <c r="O1756">
        <v>3</v>
      </c>
      <c r="P1756">
        <v>5</v>
      </c>
      <c r="S1756">
        <v>1</v>
      </c>
      <c r="T1756">
        <v>2.5</v>
      </c>
      <c r="V1756">
        <v>30</v>
      </c>
      <c r="W1756">
        <v>2182</v>
      </c>
      <c r="X1756">
        <v>20</v>
      </c>
      <c r="Y1756" t="s">
        <v>718</v>
      </c>
    </row>
    <row r="1757" spans="1:25">
      <c r="A1757" t="s">
        <v>2775</v>
      </c>
      <c r="B1757" s="2" t="str">
        <f>Hyperlink("https://www.diodes.com/datasheet/download/DMTH43M8LFG.pdf")</f>
        <v>https://www.diodes.com/datasheet/download/DMTH43M8LFG.pdf</v>
      </c>
      <c r="C1757" t="str">
        <f>Hyperlink("https://www.diodes.com/part/view/DMTH43M8LFG","DMTH43M8LFG")</f>
        <v>DMTH43M8LFG</v>
      </c>
      <c r="D1757" t="s">
        <v>1555</v>
      </c>
      <c r="E1757" t="s">
        <v>27</v>
      </c>
      <c r="F1757" t="s">
        <v>28</v>
      </c>
      <c r="G1757" t="s">
        <v>29</v>
      </c>
      <c r="H1757" t="s">
        <v>30</v>
      </c>
      <c r="I1757">
        <v>40</v>
      </c>
      <c r="J1757">
        <v>20</v>
      </c>
      <c r="K1757">
        <v>24</v>
      </c>
      <c r="L1757">
        <v>100</v>
      </c>
      <c r="M1757">
        <v>2.62</v>
      </c>
      <c r="N1757">
        <v>65.2</v>
      </c>
      <c r="O1757">
        <v>3</v>
      </c>
      <c r="P1757" t="s">
        <v>2776</v>
      </c>
      <c r="T1757">
        <v>2.5</v>
      </c>
      <c r="V1757">
        <v>40.1</v>
      </c>
      <c r="W1757">
        <v>2798</v>
      </c>
      <c r="X1757">
        <v>20</v>
      </c>
      <c r="Y1757" t="s">
        <v>718</v>
      </c>
    </row>
    <row r="1758" spans="1:25">
      <c r="A1758" t="s">
        <v>2777</v>
      </c>
      <c r="B1758" s="2" t="str">
        <f>Hyperlink("https://www.diodes.com/datasheet/download/DMTH43M8LFGQ.pdf")</f>
        <v>https://www.diodes.com/datasheet/download/DMTH43M8LFGQ.pdf</v>
      </c>
      <c r="C1758" t="str">
        <f>Hyperlink("https://www.diodes.com/part/view/DMTH43M8LFGQ","DMTH43M8LFGQ")</f>
        <v>DMTH43M8LFGQ</v>
      </c>
      <c r="D1758" t="s">
        <v>1555</v>
      </c>
      <c r="E1758" t="s">
        <v>27</v>
      </c>
      <c r="F1758" t="s">
        <v>37</v>
      </c>
      <c r="G1758" t="s">
        <v>29</v>
      </c>
      <c r="H1758" t="s">
        <v>30</v>
      </c>
      <c r="I1758">
        <v>40</v>
      </c>
      <c r="J1758">
        <v>20</v>
      </c>
      <c r="K1758">
        <v>24</v>
      </c>
      <c r="L1758">
        <v>100</v>
      </c>
      <c r="M1758">
        <v>2.62</v>
      </c>
      <c r="N1758">
        <v>65.2</v>
      </c>
      <c r="O1758">
        <v>3</v>
      </c>
      <c r="P1758" t="s">
        <v>2776</v>
      </c>
      <c r="T1758">
        <v>2.5</v>
      </c>
      <c r="V1758">
        <v>40.1</v>
      </c>
      <c r="W1758">
        <v>2798</v>
      </c>
      <c r="X1758">
        <v>20</v>
      </c>
      <c r="Y1758" t="s">
        <v>718</v>
      </c>
    </row>
    <row r="1759" spans="1:25">
      <c r="A1759" t="s">
        <v>2778</v>
      </c>
      <c r="B1759" s="2" t="str">
        <f>Hyperlink("https://www.diodes.com/datasheet/download/DMTH43M8LFVW.pdf")</f>
        <v>https://www.diodes.com/datasheet/download/DMTH43M8LFVW.pdf</v>
      </c>
      <c r="C1759" t="str">
        <f>Hyperlink("https://www.diodes.com/part/view/DMTH43M8LFVW","DMTH43M8LFVW")</f>
        <v>DMTH43M8LFVW</v>
      </c>
      <c r="D1759" t="s">
        <v>2709</v>
      </c>
      <c r="E1759" t="s">
        <v>30</v>
      </c>
      <c r="F1759" t="s">
        <v>28</v>
      </c>
      <c r="G1759" t="s">
        <v>29</v>
      </c>
      <c r="H1759" t="s">
        <v>30</v>
      </c>
      <c r="I1759">
        <v>40</v>
      </c>
      <c r="J1759">
        <v>20</v>
      </c>
      <c r="K1759">
        <v>23</v>
      </c>
      <c r="L1759">
        <v>96</v>
      </c>
      <c r="M1759">
        <v>3.6</v>
      </c>
      <c r="N1759">
        <v>65</v>
      </c>
      <c r="O1759">
        <v>4.3</v>
      </c>
      <c r="P1759">
        <v>7.5</v>
      </c>
      <c r="S1759">
        <v>1</v>
      </c>
      <c r="T1759">
        <v>2.5</v>
      </c>
      <c r="U1759">
        <v>16.9</v>
      </c>
      <c r="V1759">
        <v>36.9</v>
      </c>
      <c r="W1759">
        <v>2737</v>
      </c>
      <c r="X1759">
        <v>20</v>
      </c>
      <c r="Y1759" t="s">
        <v>1109</v>
      </c>
    </row>
    <row r="1760" spans="1:25">
      <c r="A1760" t="s">
        <v>2779</v>
      </c>
      <c r="B1760" s="2" t="str">
        <f>Hyperlink("https://www.diodes.com/datasheet/download/DMTH43M8LFVWQ.pdf")</f>
        <v>https://www.diodes.com/datasheet/download/DMTH43M8LFVWQ.pdf</v>
      </c>
      <c r="C1760" t="str">
        <f>Hyperlink("https://www.diodes.com/part/view/DMTH43M8LFVWQ","DMTH43M8LFVWQ")</f>
        <v>DMTH43M8LFVWQ</v>
      </c>
      <c r="D1760" t="s">
        <v>2709</v>
      </c>
      <c r="E1760" t="s">
        <v>27</v>
      </c>
      <c r="F1760" t="s">
        <v>37</v>
      </c>
      <c r="G1760" t="s">
        <v>29</v>
      </c>
      <c r="H1760" t="s">
        <v>30</v>
      </c>
      <c r="I1760">
        <v>40</v>
      </c>
      <c r="J1760">
        <v>20</v>
      </c>
      <c r="K1760">
        <v>23</v>
      </c>
      <c r="L1760">
        <v>96</v>
      </c>
      <c r="M1760">
        <v>3.6</v>
      </c>
      <c r="N1760">
        <v>65</v>
      </c>
      <c r="O1760">
        <v>4.3</v>
      </c>
      <c r="P1760">
        <v>7.5</v>
      </c>
      <c r="S1760">
        <v>1</v>
      </c>
      <c r="T1760">
        <v>2.5</v>
      </c>
      <c r="U1760">
        <v>16.9</v>
      </c>
      <c r="V1760">
        <v>36.9</v>
      </c>
      <c r="W1760">
        <v>2737</v>
      </c>
      <c r="X1760">
        <v>20</v>
      </c>
      <c r="Y1760" t="s">
        <v>1109</v>
      </c>
    </row>
    <row r="1761" spans="1:25">
      <c r="A1761" t="s">
        <v>2780</v>
      </c>
      <c r="B1761" s="2" t="str">
        <f>Hyperlink("https://www.diodes.com/datasheet/download/DMTH43M8LK3.pdf")</f>
        <v>https://www.diodes.com/datasheet/download/DMTH43M8LK3.pdf</v>
      </c>
      <c r="C1761" t="str">
        <f>Hyperlink("https://www.diodes.com/part/view/DMTH43M8LK3","DMTH43M8LK3")</f>
        <v>DMTH43M8LK3</v>
      </c>
      <c r="D1761" t="s">
        <v>1314</v>
      </c>
      <c r="E1761" t="s">
        <v>27</v>
      </c>
      <c r="F1761" t="s">
        <v>28</v>
      </c>
      <c r="G1761" t="s">
        <v>29</v>
      </c>
      <c r="H1761" t="s">
        <v>30</v>
      </c>
      <c r="I1761">
        <v>40</v>
      </c>
      <c r="J1761">
        <v>20</v>
      </c>
      <c r="K1761">
        <v>17.6</v>
      </c>
      <c r="L1761">
        <v>100</v>
      </c>
      <c r="M1761">
        <v>3.1</v>
      </c>
      <c r="N1761">
        <v>88</v>
      </c>
      <c r="O1761">
        <v>3.6</v>
      </c>
      <c r="P1761" t="s">
        <v>2781</v>
      </c>
      <c r="T1761">
        <v>2.5</v>
      </c>
      <c r="U1761">
        <v>17.6</v>
      </c>
      <c r="V1761">
        <v>38.5</v>
      </c>
      <c r="W1761">
        <v>2693</v>
      </c>
      <c r="X1761">
        <v>20</v>
      </c>
      <c r="Y1761" t="s">
        <v>681</v>
      </c>
    </row>
    <row r="1762" spans="1:25">
      <c r="A1762" t="s">
        <v>2782</v>
      </c>
      <c r="B1762" s="2" t="str">
        <f>Hyperlink("https://www.diodes.com/datasheet/download/DMTH43M8LK3Q.pdf")</f>
        <v>https://www.diodes.com/datasheet/download/DMTH43M8LK3Q.pdf</v>
      </c>
      <c r="C1762" t="str">
        <f>Hyperlink("https://www.diodes.com/part/view/DMTH43M8LK3Q","DMTH43M8LK3Q")</f>
        <v>DMTH43M8LK3Q</v>
      </c>
      <c r="D1762" t="s">
        <v>1555</v>
      </c>
      <c r="E1762" t="s">
        <v>27</v>
      </c>
      <c r="F1762" t="s">
        <v>37</v>
      </c>
      <c r="G1762" t="s">
        <v>29</v>
      </c>
      <c r="H1762" t="s">
        <v>30</v>
      </c>
      <c r="I1762">
        <v>40</v>
      </c>
      <c r="J1762">
        <v>20</v>
      </c>
      <c r="K1762">
        <v>17.6</v>
      </c>
      <c r="L1762">
        <v>100</v>
      </c>
      <c r="M1762">
        <v>3.1</v>
      </c>
      <c r="N1762">
        <v>88</v>
      </c>
      <c r="O1762">
        <v>3.6</v>
      </c>
      <c r="P1762" t="s">
        <v>2781</v>
      </c>
      <c r="T1762">
        <v>2.5</v>
      </c>
      <c r="U1762">
        <v>17.6</v>
      </c>
      <c r="V1762">
        <v>38.5</v>
      </c>
      <c r="W1762">
        <v>2693</v>
      </c>
      <c r="X1762">
        <v>20</v>
      </c>
      <c r="Y1762" t="s">
        <v>681</v>
      </c>
    </row>
    <row r="1763" spans="1:25">
      <c r="A1763" t="s">
        <v>2783</v>
      </c>
      <c r="B1763" s="2" t="str">
        <f>Hyperlink("https://www.diodes.com/datasheet/download/DMTH43M8LPDW.pdf")</f>
        <v>https://www.diodes.com/datasheet/download/DMTH43M8LPDW.pdf</v>
      </c>
      <c r="C1763" t="str">
        <f>Hyperlink("https://www.diodes.com/part/view/DMTH43M8LPDW","DMTH43M8LPDW")</f>
        <v>DMTH43M8LPDW</v>
      </c>
      <c r="D1763" t="s">
        <v>2734</v>
      </c>
      <c r="E1763" t="s">
        <v>30</v>
      </c>
      <c r="F1763" t="s">
        <v>28</v>
      </c>
      <c r="G1763" t="s">
        <v>40</v>
      </c>
      <c r="H1763" t="s">
        <v>30</v>
      </c>
      <c r="I1763">
        <v>40</v>
      </c>
      <c r="J1763">
        <v>20</v>
      </c>
      <c r="L1763">
        <v>110</v>
      </c>
      <c r="M1763">
        <v>3</v>
      </c>
      <c r="N1763">
        <v>80.2</v>
      </c>
      <c r="O1763">
        <v>4.2</v>
      </c>
      <c r="P1763">
        <v>6</v>
      </c>
      <c r="S1763">
        <v>1</v>
      </c>
      <c r="T1763">
        <v>2.5</v>
      </c>
      <c r="U1763">
        <v>19.4</v>
      </c>
      <c r="V1763">
        <v>41.9</v>
      </c>
      <c r="W1763">
        <v>2796</v>
      </c>
      <c r="X1763">
        <v>20</v>
      </c>
      <c r="Y1763" t="s">
        <v>168</v>
      </c>
    </row>
    <row r="1764" spans="1:25">
      <c r="A1764" t="s">
        <v>2784</v>
      </c>
      <c r="B1764" s="2" t="str">
        <f>Hyperlink("https://www.diodes.com/datasheet/download/DMTH43M8LPDWQ.pdf")</f>
        <v>https://www.diodes.com/datasheet/download/DMTH43M8LPDWQ.pdf</v>
      </c>
      <c r="C1764" t="str">
        <f>Hyperlink("https://www.diodes.com/part/view/DMTH43M8LPDWQ","DMTH43M8LPDWQ")</f>
        <v>DMTH43M8LPDWQ</v>
      </c>
      <c r="D1764" t="s">
        <v>2734</v>
      </c>
      <c r="E1764" t="s">
        <v>27</v>
      </c>
      <c r="F1764" t="s">
        <v>37</v>
      </c>
      <c r="G1764" t="s">
        <v>40</v>
      </c>
      <c r="H1764" t="s">
        <v>30</v>
      </c>
      <c r="I1764">
        <v>40</v>
      </c>
      <c r="J1764">
        <v>20</v>
      </c>
      <c r="L1764">
        <v>110</v>
      </c>
      <c r="M1764">
        <v>2.98</v>
      </c>
      <c r="N1764">
        <v>80.2</v>
      </c>
      <c r="O1764">
        <v>4.2</v>
      </c>
      <c r="P1764">
        <v>6</v>
      </c>
      <c r="S1764">
        <v>1</v>
      </c>
      <c r="T1764">
        <v>2.5</v>
      </c>
      <c r="U1764">
        <v>19.4</v>
      </c>
      <c r="V1764">
        <v>41.9</v>
      </c>
      <c r="W1764">
        <v>2796</v>
      </c>
      <c r="X1764">
        <v>20</v>
      </c>
      <c r="Y1764" t="s">
        <v>168</v>
      </c>
    </row>
    <row r="1765" spans="1:25">
      <c r="A1765" t="s">
        <v>2785</v>
      </c>
      <c r="B1765" s="2" t="str">
        <f>Hyperlink("https://www.diodes.com/datasheet/download/DMTH43M8LPS.pdf")</f>
        <v>https://www.diodes.com/datasheet/download/DMTH43M8LPS.pdf</v>
      </c>
      <c r="C1765" t="str">
        <f>Hyperlink("https://www.diodes.com/part/view/DMTH43M8LPS","DMTH43M8LPS")</f>
        <v>DMTH43M8LPS</v>
      </c>
      <c r="D1765" t="s">
        <v>2786</v>
      </c>
      <c r="E1765" t="s">
        <v>27</v>
      </c>
      <c r="F1765" t="s">
        <v>28</v>
      </c>
      <c r="G1765" t="s">
        <v>29</v>
      </c>
      <c r="H1765" t="s">
        <v>30</v>
      </c>
      <c r="I1765">
        <v>40</v>
      </c>
      <c r="J1765">
        <v>20</v>
      </c>
      <c r="K1765">
        <v>22</v>
      </c>
      <c r="L1765">
        <v>100</v>
      </c>
      <c r="M1765">
        <v>2.7</v>
      </c>
      <c r="N1765">
        <v>83</v>
      </c>
      <c r="O1765">
        <v>3.3</v>
      </c>
      <c r="P1765" t="s">
        <v>2776</v>
      </c>
      <c r="T1765">
        <v>2.5</v>
      </c>
      <c r="U1765">
        <v>17.6</v>
      </c>
      <c r="V1765">
        <v>38.5</v>
      </c>
      <c r="W1765">
        <v>2693</v>
      </c>
      <c r="X1765">
        <v>20</v>
      </c>
      <c r="Y1765" t="s">
        <v>907</v>
      </c>
    </row>
    <row r="1766" spans="1:25">
      <c r="A1766" t="s">
        <v>2787</v>
      </c>
      <c r="B1766" s="2" t="str">
        <f>Hyperlink("https://www.diodes.com/datasheet/download/DMTH43M8LPSQ.pdf")</f>
        <v>https://www.diodes.com/datasheet/download/DMTH43M8LPSQ.pdf</v>
      </c>
      <c r="C1766" t="str">
        <f>Hyperlink("https://www.diodes.com/part/view/DMTH43M8LPSQ","DMTH43M8LPSQ")</f>
        <v>DMTH43M8LPSQ</v>
      </c>
      <c r="D1766" t="s">
        <v>2788</v>
      </c>
      <c r="E1766" t="s">
        <v>27</v>
      </c>
      <c r="F1766" t="s">
        <v>37</v>
      </c>
      <c r="G1766" t="s">
        <v>29</v>
      </c>
      <c r="H1766" t="s">
        <v>30</v>
      </c>
      <c r="I1766">
        <v>40</v>
      </c>
      <c r="J1766">
        <v>20</v>
      </c>
      <c r="K1766">
        <v>22</v>
      </c>
      <c r="L1766">
        <v>100</v>
      </c>
      <c r="M1766">
        <v>2.7</v>
      </c>
      <c r="N1766">
        <v>5</v>
      </c>
      <c r="O1766">
        <v>3.3</v>
      </c>
      <c r="P1766" t="s">
        <v>2776</v>
      </c>
      <c r="T1766">
        <v>2.5</v>
      </c>
      <c r="U1766">
        <v>17.6</v>
      </c>
      <c r="V1766">
        <v>38.5</v>
      </c>
      <c r="W1766">
        <v>2693</v>
      </c>
      <c r="X1766">
        <v>20</v>
      </c>
      <c r="Y1766" t="s">
        <v>907</v>
      </c>
    </row>
    <row r="1767" spans="1:25">
      <c r="A1767" t="s">
        <v>2789</v>
      </c>
      <c r="B1767" s="2" t="str">
        <f>Hyperlink("https://www.diodes.com/datasheet/download/DMTH43M8LPSWQ.pdf")</f>
        <v>https://www.diodes.com/datasheet/download/DMTH43M8LPSWQ.pdf</v>
      </c>
      <c r="C1767" t="str">
        <f>Hyperlink("https://www.diodes.com/part/view/DMTH43M8LPSWQ","DMTH43M8LPSWQ")</f>
        <v>DMTH43M8LPSWQ</v>
      </c>
      <c r="D1767" t="s">
        <v>2709</v>
      </c>
      <c r="E1767" t="s">
        <v>27</v>
      </c>
      <c r="F1767" t="s">
        <v>37</v>
      </c>
      <c r="G1767" t="s">
        <v>29</v>
      </c>
      <c r="H1767" t="s">
        <v>30</v>
      </c>
      <c r="I1767">
        <v>40</v>
      </c>
      <c r="J1767">
        <v>20</v>
      </c>
      <c r="L1767">
        <v>100</v>
      </c>
      <c r="M1767">
        <v>2.7</v>
      </c>
      <c r="N1767">
        <v>83</v>
      </c>
      <c r="O1767">
        <v>3.3</v>
      </c>
      <c r="S1767">
        <v>1</v>
      </c>
      <c r="T1767">
        <v>2.5</v>
      </c>
      <c r="U1767">
        <v>17.6</v>
      </c>
      <c r="V1767">
        <v>38.5</v>
      </c>
      <c r="W1767">
        <v>2693</v>
      </c>
      <c r="X1767">
        <v>20</v>
      </c>
      <c r="Y1767" t="s">
        <v>1546</v>
      </c>
    </row>
    <row r="1768" spans="1:25">
      <c r="A1768" t="s">
        <v>2790</v>
      </c>
      <c r="B1768" s="2" t="str">
        <f>Hyperlink("https://www.diodes.com/datasheet/download/DMTH43M8SPDW.pdf")</f>
        <v>https://www.diodes.com/datasheet/download/DMTH43M8SPDW.pdf</v>
      </c>
      <c r="C1768" t="str">
        <f>Hyperlink("https://www.diodes.com/part/view/DMTH43M8SPDW","DMTH43M8SPDW")</f>
        <v>DMTH43M8SPDW</v>
      </c>
      <c r="D1768" t="s">
        <v>2734</v>
      </c>
      <c r="E1768" t="s">
        <v>30</v>
      </c>
      <c r="F1768" t="s">
        <v>28</v>
      </c>
      <c r="G1768" t="s">
        <v>40</v>
      </c>
      <c r="H1768" t="s">
        <v>30</v>
      </c>
      <c r="I1768">
        <v>40</v>
      </c>
      <c r="J1768">
        <v>20</v>
      </c>
      <c r="L1768">
        <v>105</v>
      </c>
      <c r="M1768">
        <v>3</v>
      </c>
      <c r="N1768">
        <v>76</v>
      </c>
      <c r="O1768">
        <v>4.5</v>
      </c>
      <c r="S1768">
        <v>2</v>
      </c>
      <c r="T1768">
        <v>4</v>
      </c>
      <c r="U1768">
        <v>17</v>
      </c>
      <c r="V1768">
        <v>40</v>
      </c>
      <c r="W1768">
        <v>2958</v>
      </c>
      <c r="X1768">
        <v>20</v>
      </c>
      <c r="Y1768" t="s">
        <v>168</v>
      </c>
    </row>
    <row r="1769" spans="1:25">
      <c r="A1769" t="s">
        <v>2791</v>
      </c>
      <c r="B1769" s="2" t="str">
        <f>Hyperlink("https://www.diodes.com/datasheet/download/DMTH43M8SPDWQ.pdf")</f>
        <v>https://www.diodes.com/datasheet/download/DMTH43M8SPDWQ.pdf</v>
      </c>
      <c r="C1769" t="str">
        <f>Hyperlink("https://www.diodes.com/part/view/DMTH43M8SPDWQ","DMTH43M8SPDWQ")</f>
        <v>DMTH43M8SPDWQ</v>
      </c>
      <c r="D1769" t="s">
        <v>2734</v>
      </c>
      <c r="E1769" t="s">
        <v>27</v>
      </c>
      <c r="F1769" t="s">
        <v>37</v>
      </c>
      <c r="G1769" t="s">
        <v>40</v>
      </c>
      <c r="H1769" t="s">
        <v>30</v>
      </c>
      <c r="I1769">
        <v>40</v>
      </c>
      <c r="J1769">
        <v>20</v>
      </c>
      <c r="L1769">
        <v>105</v>
      </c>
      <c r="M1769">
        <v>3</v>
      </c>
      <c r="N1769">
        <v>76</v>
      </c>
      <c r="O1769">
        <v>4.5</v>
      </c>
      <c r="S1769">
        <v>2</v>
      </c>
      <c r="T1769">
        <v>4</v>
      </c>
      <c r="U1769">
        <v>17</v>
      </c>
      <c r="V1769">
        <v>40</v>
      </c>
      <c r="W1769">
        <v>2958</v>
      </c>
      <c r="X1769">
        <v>20</v>
      </c>
      <c r="Y1769" t="s">
        <v>168</v>
      </c>
    </row>
    <row r="1770" spans="1:25">
      <c r="A1770" t="s">
        <v>2792</v>
      </c>
      <c r="B1770" s="2" t="str">
        <f>Hyperlink("https://www.diodes.com/datasheet/download/DMTH45M5LFVW.pdf")</f>
        <v>https://www.diodes.com/datasheet/download/DMTH45M5LFVW.pdf</v>
      </c>
      <c r="C1770" t="str">
        <f>Hyperlink("https://www.diodes.com/part/view/DMTH45M5LFVW","DMTH45M5LFVW")</f>
        <v>DMTH45M5LFVW</v>
      </c>
      <c r="D1770" t="s">
        <v>2709</v>
      </c>
      <c r="E1770" t="s">
        <v>27</v>
      </c>
      <c r="F1770" t="s">
        <v>28</v>
      </c>
      <c r="G1770" t="s">
        <v>29</v>
      </c>
      <c r="H1770" t="s">
        <v>30</v>
      </c>
      <c r="I1770">
        <v>40</v>
      </c>
      <c r="J1770">
        <v>20</v>
      </c>
      <c r="K1770">
        <v>18</v>
      </c>
      <c r="L1770">
        <v>71</v>
      </c>
      <c r="M1770">
        <v>3.5</v>
      </c>
      <c r="N1770">
        <v>51</v>
      </c>
      <c r="O1770">
        <v>5.5</v>
      </c>
      <c r="P1770">
        <v>7.9</v>
      </c>
      <c r="S1770">
        <v>1.2</v>
      </c>
      <c r="T1770">
        <v>2.3</v>
      </c>
      <c r="U1770">
        <v>3.6</v>
      </c>
      <c r="V1770">
        <v>13.9</v>
      </c>
      <c r="W1770">
        <v>978</v>
      </c>
      <c r="X1770">
        <v>20</v>
      </c>
      <c r="Y1770" t="s">
        <v>1109</v>
      </c>
    </row>
    <row r="1771" spans="1:25">
      <c r="A1771" t="s">
        <v>2793</v>
      </c>
      <c r="B1771" s="2" t="str">
        <f>Hyperlink("https://www.diodes.com/datasheet/download/DMTH45M5LFVWQ.pdf")</f>
        <v>https://www.diodes.com/datasheet/download/DMTH45M5LFVWQ.pdf</v>
      </c>
      <c r="C1771" t="str">
        <f>Hyperlink("https://www.diodes.com/part/view/DMTH45M5LFVWQ","DMTH45M5LFVWQ")</f>
        <v>DMTH45M5LFVWQ</v>
      </c>
      <c r="D1771" t="s">
        <v>2709</v>
      </c>
      <c r="E1771" t="s">
        <v>27</v>
      </c>
      <c r="F1771" t="s">
        <v>37</v>
      </c>
      <c r="G1771" t="s">
        <v>29</v>
      </c>
      <c r="H1771" t="s">
        <v>30</v>
      </c>
      <c r="I1771">
        <v>40</v>
      </c>
      <c r="J1771">
        <v>20</v>
      </c>
      <c r="K1771">
        <v>18</v>
      </c>
      <c r="L1771">
        <v>71</v>
      </c>
      <c r="M1771">
        <v>3.5</v>
      </c>
      <c r="N1771">
        <v>51</v>
      </c>
      <c r="O1771">
        <v>5.5</v>
      </c>
      <c r="P1771">
        <v>7.9</v>
      </c>
      <c r="S1771">
        <v>1.2</v>
      </c>
      <c r="T1771">
        <v>2.3</v>
      </c>
      <c r="U1771">
        <v>6.3</v>
      </c>
      <c r="V1771">
        <v>13.9</v>
      </c>
      <c r="W1771">
        <v>978</v>
      </c>
      <c r="X1771">
        <v>20</v>
      </c>
      <c r="Y1771" t="s">
        <v>1109</v>
      </c>
    </row>
    <row r="1772" spans="1:25">
      <c r="A1772" t="s">
        <v>2794</v>
      </c>
      <c r="B1772" s="2" t="str">
        <f>Hyperlink("https://www.diodes.com/datasheet/download/DMTH45M5LPDW.pdf")</f>
        <v>https://www.diodes.com/datasheet/download/DMTH45M5LPDW.pdf</v>
      </c>
      <c r="C1772" t="str">
        <f>Hyperlink("https://www.diodes.com/part/view/DMTH45M5LPDW","DMTH45M5LPDW")</f>
        <v>DMTH45M5LPDW</v>
      </c>
      <c r="D1772" t="s">
        <v>2732</v>
      </c>
      <c r="E1772" t="s">
        <v>30</v>
      </c>
      <c r="F1772" t="s">
        <v>28</v>
      </c>
      <c r="G1772" t="s">
        <v>40</v>
      </c>
      <c r="H1772" t="s">
        <v>30</v>
      </c>
      <c r="I1772">
        <v>40</v>
      </c>
      <c r="J1772">
        <v>20</v>
      </c>
      <c r="L1772">
        <v>79</v>
      </c>
      <c r="M1772">
        <v>3</v>
      </c>
      <c r="N1772">
        <v>60</v>
      </c>
      <c r="O1772">
        <v>5.5</v>
      </c>
      <c r="P1772">
        <v>7.9</v>
      </c>
      <c r="S1772">
        <v>1.2</v>
      </c>
      <c r="T1772">
        <v>2.3</v>
      </c>
      <c r="U1772">
        <v>6.3</v>
      </c>
      <c r="V1772">
        <v>13.9</v>
      </c>
      <c r="W1772">
        <v>978</v>
      </c>
      <c r="X1772">
        <v>20</v>
      </c>
      <c r="Y1772" t="s">
        <v>168</v>
      </c>
    </row>
    <row r="1773" spans="1:25">
      <c r="A1773" t="s">
        <v>2795</v>
      </c>
      <c r="B1773" s="2" t="str">
        <f>Hyperlink("https://www.diodes.com/datasheet/download/DMTH45M5LPDWQ.pdf")</f>
        <v>https://www.diodes.com/datasheet/download/DMTH45M5LPDWQ.pdf</v>
      </c>
      <c r="C1773" t="str">
        <f>Hyperlink("https://www.diodes.com/part/view/DMTH45M5LPDWQ","DMTH45M5LPDWQ")</f>
        <v>DMTH45M5LPDWQ</v>
      </c>
      <c r="D1773" t="s">
        <v>2732</v>
      </c>
      <c r="E1773" t="s">
        <v>27</v>
      </c>
      <c r="F1773" t="s">
        <v>37</v>
      </c>
      <c r="G1773" t="s">
        <v>40</v>
      </c>
      <c r="H1773" t="s">
        <v>30</v>
      </c>
      <c r="I1773">
        <v>40</v>
      </c>
      <c r="J1773">
        <v>20</v>
      </c>
      <c r="L1773">
        <v>79</v>
      </c>
      <c r="M1773">
        <v>3</v>
      </c>
      <c r="N1773">
        <v>60</v>
      </c>
      <c r="O1773">
        <v>5.5</v>
      </c>
      <c r="P1773">
        <v>7.9</v>
      </c>
      <c r="S1773">
        <v>1.2</v>
      </c>
      <c r="T1773">
        <v>2.3</v>
      </c>
      <c r="U1773">
        <v>6.3</v>
      </c>
      <c r="V1773">
        <v>13.9</v>
      </c>
      <c r="W1773">
        <v>978</v>
      </c>
      <c r="X1773">
        <v>20</v>
      </c>
      <c r="Y1773" t="s">
        <v>168</v>
      </c>
    </row>
    <row r="1774" spans="1:25">
      <c r="A1774" t="s">
        <v>2796</v>
      </c>
      <c r="B1774" s="2" t="str">
        <f>Hyperlink("https://www.diodes.com/datasheet/download/DMTH45M5LPSW.pdf")</f>
        <v>https://www.diodes.com/datasheet/download/DMTH45M5LPSW.pdf</v>
      </c>
      <c r="C1774" t="str">
        <f>Hyperlink("https://www.diodes.com/part/view/DMTH45M5LPSW","DMTH45M5LPSW")</f>
        <v>DMTH45M5LPSW</v>
      </c>
      <c r="D1774" t="s">
        <v>1555</v>
      </c>
      <c r="E1774" t="s">
        <v>30</v>
      </c>
      <c r="F1774" t="s">
        <v>28</v>
      </c>
      <c r="G1774" t="s">
        <v>29</v>
      </c>
      <c r="H1774" t="s">
        <v>30</v>
      </c>
      <c r="I1774">
        <v>40</v>
      </c>
      <c r="J1774">
        <v>20</v>
      </c>
      <c r="L1774">
        <v>86</v>
      </c>
      <c r="M1774">
        <v>3.5</v>
      </c>
      <c r="N1774">
        <v>72</v>
      </c>
      <c r="O1774">
        <v>5.5</v>
      </c>
      <c r="P1774">
        <v>7.9</v>
      </c>
      <c r="S1774">
        <v>1.2</v>
      </c>
      <c r="T1774">
        <v>2.3</v>
      </c>
      <c r="U1774">
        <v>6.3</v>
      </c>
      <c r="V1774">
        <v>13.9</v>
      </c>
      <c r="W1774">
        <v>978</v>
      </c>
      <c r="X1774">
        <v>20</v>
      </c>
      <c r="Y1774" t="s">
        <v>1546</v>
      </c>
    </row>
    <row r="1775" spans="1:25">
      <c r="A1775" t="s">
        <v>2797</v>
      </c>
      <c r="B1775" s="2" t="str">
        <f>Hyperlink("https://www.diodes.com/datasheet/download/DMTH45M5LPSWQ.pdf")</f>
        <v>https://www.diodes.com/datasheet/download/DMTH45M5LPSWQ.pdf</v>
      </c>
      <c r="C1775" t="str">
        <f>Hyperlink("https://www.diodes.com/part/view/DMTH45M5LPSWQ","DMTH45M5LPSWQ")</f>
        <v>DMTH45M5LPSWQ</v>
      </c>
      <c r="D1775" t="s">
        <v>1555</v>
      </c>
      <c r="E1775" t="s">
        <v>27</v>
      </c>
      <c r="F1775" t="s">
        <v>37</v>
      </c>
      <c r="G1775" t="s">
        <v>29</v>
      </c>
      <c r="H1775" t="s">
        <v>30</v>
      </c>
      <c r="I1775">
        <v>40</v>
      </c>
      <c r="J1775">
        <v>20</v>
      </c>
      <c r="L1775">
        <v>86</v>
      </c>
      <c r="M1775">
        <v>3.5</v>
      </c>
      <c r="N1775">
        <v>72</v>
      </c>
      <c r="O1775">
        <v>5.5</v>
      </c>
      <c r="P1775">
        <v>7.9</v>
      </c>
      <c r="S1775">
        <v>1.2</v>
      </c>
      <c r="T1775">
        <v>2.3</v>
      </c>
      <c r="U1775">
        <v>6.3</v>
      </c>
      <c r="V1775">
        <v>13.9</v>
      </c>
      <c r="W1775">
        <v>978</v>
      </c>
      <c r="X1775">
        <v>20</v>
      </c>
      <c r="Y1775" t="s">
        <v>1546</v>
      </c>
    </row>
    <row r="1776" spans="1:25">
      <c r="A1776" t="s">
        <v>2798</v>
      </c>
      <c r="B1776" s="2" t="str">
        <f>Hyperlink("https://www.diodes.com/datasheet/download/DMTH45M5SFVW.pdf")</f>
        <v>https://www.diodes.com/datasheet/download/DMTH45M5SFVW.pdf</v>
      </c>
      <c r="C1776" t="str">
        <f>Hyperlink("https://www.diodes.com/part/view/DMTH45M5SFVW","DMTH45M5SFVW")</f>
        <v>DMTH45M5SFVW</v>
      </c>
      <c r="D1776" t="s">
        <v>2709</v>
      </c>
      <c r="E1776" t="s">
        <v>27</v>
      </c>
      <c r="F1776" t="s">
        <v>28</v>
      </c>
      <c r="G1776" t="s">
        <v>29</v>
      </c>
      <c r="H1776" t="s">
        <v>30</v>
      </c>
      <c r="I1776">
        <v>40</v>
      </c>
      <c r="J1776">
        <v>20</v>
      </c>
      <c r="K1776">
        <v>18</v>
      </c>
      <c r="L1776">
        <v>71</v>
      </c>
      <c r="M1776">
        <v>3.5</v>
      </c>
      <c r="N1776">
        <v>51</v>
      </c>
      <c r="O1776">
        <v>5.5</v>
      </c>
      <c r="S1776">
        <v>2</v>
      </c>
      <c r="T1776">
        <v>3.5</v>
      </c>
      <c r="V1776">
        <v>13.2</v>
      </c>
      <c r="W1776">
        <v>1083</v>
      </c>
      <c r="X1776">
        <v>20</v>
      </c>
      <c r="Y1776" t="s">
        <v>1109</v>
      </c>
    </row>
    <row r="1777" spans="1:25">
      <c r="A1777" t="s">
        <v>2799</v>
      </c>
      <c r="B1777" s="2" t="str">
        <f>Hyperlink("https://www.diodes.com/datasheet/download/DMTH45M5SFVWQ.pdf")</f>
        <v>https://www.diodes.com/datasheet/download/DMTH45M5SFVWQ.pdf</v>
      </c>
      <c r="C1777" t="str">
        <f>Hyperlink("https://www.diodes.com/part/view/DMTH45M5SFVWQ","DMTH45M5SFVWQ")</f>
        <v>DMTH45M5SFVWQ</v>
      </c>
      <c r="D1777" t="s">
        <v>2709</v>
      </c>
      <c r="E1777" t="s">
        <v>27</v>
      </c>
      <c r="F1777" t="s">
        <v>37</v>
      </c>
      <c r="G1777" t="s">
        <v>29</v>
      </c>
      <c r="H1777" t="s">
        <v>30</v>
      </c>
      <c r="I1777">
        <v>40</v>
      </c>
      <c r="J1777">
        <v>20</v>
      </c>
      <c r="K1777">
        <v>18</v>
      </c>
      <c r="L1777">
        <v>71</v>
      </c>
      <c r="M1777">
        <v>3.5</v>
      </c>
      <c r="N1777">
        <v>51</v>
      </c>
      <c r="O1777">
        <v>5.5</v>
      </c>
      <c r="S1777">
        <v>2</v>
      </c>
      <c r="T1777">
        <v>3.5</v>
      </c>
      <c r="V1777">
        <v>13.2</v>
      </c>
      <c r="W1777">
        <v>1083</v>
      </c>
      <c r="X1777">
        <v>20</v>
      </c>
      <c r="Y1777" t="s">
        <v>1109</v>
      </c>
    </row>
    <row r="1778" spans="1:25">
      <c r="A1778" t="s">
        <v>2800</v>
      </c>
      <c r="B1778" s="2" t="str">
        <f>Hyperlink("https://www.diodes.com/datasheet/download/DMTH45M5SPDW.pdf")</f>
        <v>https://www.diodes.com/datasheet/download/DMTH45M5SPDW.pdf</v>
      </c>
      <c r="C1778" t="str">
        <f>Hyperlink("https://www.diodes.com/part/view/DMTH45M5SPDW","DMTH45M5SPDW")</f>
        <v>DMTH45M5SPDW</v>
      </c>
      <c r="D1778" t="s">
        <v>2732</v>
      </c>
      <c r="E1778" t="s">
        <v>30</v>
      </c>
      <c r="F1778" t="s">
        <v>28</v>
      </c>
      <c r="G1778" t="s">
        <v>40</v>
      </c>
      <c r="H1778" t="s">
        <v>30</v>
      </c>
      <c r="I1778">
        <v>40</v>
      </c>
      <c r="J1778">
        <v>20</v>
      </c>
      <c r="L1778">
        <v>79</v>
      </c>
      <c r="M1778">
        <v>3.3</v>
      </c>
      <c r="N1778">
        <v>60</v>
      </c>
      <c r="O1778">
        <v>5.5</v>
      </c>
      <c r="S1778">
        <v>2</v>
      </c>
      <c r="T1778">
        <v>3.5</v>
      </c>
      <c r="V1778">
        <v>13.2</v>
      </c>
      <c r="W1778">
        <v>1083</v>
      </c>
      <c r="X1778">
        <v>20</v>
      </c>
      <c r="Y1778" t="s">
        <v>168</v>
      </c>
    </row>
    <row r="1779" spans="1:25">
      <c r="A1779" t="s">
        <v>2801</v>
      </c>
      <c r="B1779" s="2" t="str">
        <f>Hyperlink("https://www.diodes.com/datasheet/download/DMTH45M5SPDWQ.pdf")</f>
        <v>https://www.diodes.com/datasheet/download/DMTH45M5SPDWQ.pdf</v>
      </c>
      <c r="C1779" t="str">
        <f>Hyperlink("https://www.diodes.com/part/view/DMTH45M5SPDWQ","DMTH45M5SPDWQ")</f>
        <v>DMTH45M5SPDWQ</v>
      </c>
      <c r="D1779" t="s">
        <v>2732</v>
      </c>
      <c r="E1779" t="s">
        <v>27</v>
      </c>
      <c r="F1779" t="s">
        <v>37</v>
      </c>
      <c r="G1779" t="s">
        <v>40</v>
      </c>
      <c r="H1779" t="s">
        <v>30</v>
      </c>
      <c r="I1779">
        <v>40</v>
      </c>
      <c r="J1779">
        <v>20</v>
      </c>
      <c r="L1779">
        <v>79</v>
      </c>
      <c r="M1779">
        <v>3.3</v>
      </c>
      <c r="N1779">
        <v>60</v>
      </c>
      <c r="O1779">
        <v>5.5</v>
      </c>
      <c r="S1779">
        <v>2</v>
      </c>
      <c r="T1779">
        <v>3.5</v>
      </c>
      <c r="V1779">
        <v>13.2</v>
      </c>
      <c r="W1779">
        <v>1083</v>
      </c>
      <c r="X1779">
        <v>20</v>
      </c>
      <c r="Y1779" t="s">
        <v>168</v>
      </c>
    </row>
    <row r="1780" spans="1:25">
      <c r="A1780" t="s">
        <v>2802</v>
      </c>
      <c r="B1780" s="2" t="str">
        <f>Hyperlink("https://www.diodes.com/datasheet/download/DMTH45M5SPSW.pdf")</f>
        <v>https://www.diodes.com/datasheet/download/DMTH45M5SPSW.pdf</v>
      </c>
      <c r="C1780" t="str">
        <f>Hyperlink("https://www.diodes.com/part/view/DMTH45M5SPSW","DMTH45M5SPSW")</f>
        <v>DMTH45M5SPSW</v>
      </c>
      <c r="D1780" t="s">
        <v>1555</v>
      </c>
      <c r="E1780" t="s">
        <v>30</v>
      </c>
      <c r="F1780" t="s">
        <v>28</v>
      </c>
      <c r="G1780" t="s">
        <v>29</v>
      </c>
      <c r="H1780" t="s">
        <v>30</v>
      </c>
      <c r="I1780">
        <v>40</v>
      </c>
      <c r="J1780">
        <v>20</v>
      </c>
      <c r="L1780">
        <v>86</v>
      </c>
      <c r="M1780">
        <v>3.5</v>
      </c>
      <c r="N1780">
        <v>72</v>
      </c>
      <c r="O1780">
        <v>5.5</v>
      </c>
      <c r="S1780">
        <v>2</v>
      </c>
      <c r="T1780">
        <v>3.5</v>
      </c>
      <c r="V1780">
        <v>13.2</v>
      </c>
      <c r="W1780">
        <v>1083</v>
      </c>
      <c r="X1780">
        <v>20</v>
      </c>
      <c r="Y1780" t="s">
        <v>1546</v>
      </c>
    </row>
    <row r="1781" spans="1:25">
      <c r="A1781" t="s">
        <v>2803</v>
      </c>
      <c r="B1781" s="2" t="str">
        <f>Hyperlink("https://www.diodes.com/datasheet/download/DMTH45M5SPSWQ.pdf")</f>
        <v>https://www.diodes.com/datasheet/download/DMTH45M5SPSWQ.pdf</v>
      </c>
      <c r="C1781" t="str">
        <f>Hyperlink("https://www.diodes.com/part/view/DMTH45M5SPSWQ","DMTH45M5SPSWQ")</f>
        <v>DMTH45M5SPSWQ</v>
      </c>
      <c r="D1781" t="s">
        <v>1555</v>
      </c>
      <c r="E1781" t="s">
        <v>27</v>
      </c>
      <c r="F1781" t="s">
        <v>37</v>
      </c>
      <c r="G1781" t="s">
        <v>29</v>
      </c>
      <c r="H1781" t="s">
        <v>30</v>
      </c>
      <c r="I1781">
        <v>40</v>
      </c>
      <c r="J1781">
        <v>20</v>
      </c>
      <c r="L1781">
        <v>86</v>
      </c>
      <c r="M1781">
        <v>3.5</v>
      </c>
      <c r="N1781">
        <v>72</v>
      </c>
      <c r="O1781">
        <v>5.5</v>
      </c>
      <c r="S1781">
        <v>2</v>
      </c>
      <c r="T1781">
        <v>3.5</v>
      </c>
      <c r="V1781">
        <v>13.2</v>
      </c>
      <c r="W1781">
        <v>1083</v>
      </c>
      <c r="X1781">
        <v>20</v>
      </c>
      <c r="Y1781" t="s">
        <v>1546</v>
      </c>
    </row>
    <row r="1782" spans="1:25">
      <c r="A1782" t="s">
        <v>2804</v>
      </c>
      <c r="B1782" s="2" t="str">
        <f>Hyperlink("https://www.diodes.com/datasheet/download/DMTH47M2LFVW.pdf")</f>
        <v>https://www.diodes.com/datasheet/download/DMTH47M2LFVW.pdf</v>
      </c>
      <c r="C1782" t="str">
        <f>Hyperlink("https://www.diodes.com/part/view/DMTH47M2LFVW","DMTH47M2LFVW")</f>
        <v>DMTH47M2LFVW</v>
      </c>
      <c r="D1782" t="s">
        <v>1555</v>
      </c>
      <c r="E1782" t="s">
        <v>30</v>
      </c>
      <c r="F1782" t="s">
        <v>28</v>
      </c>
      <c r="G1782" t="s">
        <v>29</v>
      </c>
      <c r="H1782" t="s">
        <v>30</v>
      </c>
      <c r="I1782">
        <v>40</v>
      </c>
      <c r="J1782">
        <v>20</v>
      </c>
      <c r="K1782">
        <v>13.6</v>
      </c>
      <c r="L1782">
        <v>49</v>
      </c>
      <c r="M1782">
        <v>2.9</v>
      </c>
      <c r="N1782">
        <v>37.5</v>
      </c>
      <c r="O1782">
        <v>8.9</v>
      </c>
      <c r="P1782">
        <v>13.5</v>
      </c>
      <c r="S1782">
        <v>1.2</v>
      </c>
      <c r="T1782">
        <v>2.3</v>
      </c>
      <c r="U1782">
        <v>5.8</v>
      </c>
      <c r="V1782">
        <v>12.3</v>
      </c>
      <c r="W1782">
        <v>881</v>
      </c>
      <c r="X1782">
        <v>20</v>
      </c>
      <c r="Y1782" t="s">
        <v>1109</v>
      </c>
    </row>
    <row r="1783" spans="1:25">
      <c r="A1783" t="s">
        <v>2805</v>
      </c>
      <c r="B1783" s="2" t="str">
        <f>Hyperlink("https://www.diodes.com/datasheet/download/DMTH47M2LFVWQ.pdf")</f>
        <v>https://www.diodes.com/datasheet/download/DMTH47M2LFVWQ.pdf</v>
      </c>
      <c r="C1783" t="str">
        <f>Hyperlink("https://www.diodes.com/part/view/DMTH47M2LFVWQ","DMTH47M2LFVWQ")</f>
        <v>DMTH47M2LFVWQ</v>
      </c>
      <c r="D1783" t="s">
        <v>1555</v>
      </c>
      <c r="E1783" t="s">
        <v>27</v>
      </c>
      <c r="F1783" t="s">
        <v>37</v>
      </c>
      <c r="G1783" t="s">
        <v>29</v>
      </c>
      <c r="H1783" t="s">
        <v>30</v>
      </c>
      <c r="I1783">
        <v>40</v>
      </c>
      <c r="J1783">
        <v>20</v>
      </c>
      <c r="K1783">
        <v>13.6</v>
      </c>
      <c r="L1783">
        <v>49</v>
      </c>
      <c r="M1783">
        <v>2.9</v>
      </c>
      <c r="N1783">
        <v>37.5</v>
      </c>
      <c r="O1783">
        <v>8.9</v>
      </c>
      <c r="P1783">
        <v>13.5</v>
      </c>
      <c r="S1783">
        <v>1.2</v>
      </c>
      <c r="T1783">
        <v>2.3</v>
      </c>
      <c r="U1783">
        <v>5.8</v>
      </c>
      <c r="V1783">
        <v>12.3</v>
      </c>
      <c r="W1783">
        <v>881</v>
      </c>
      <c r="X1783">
        <v>20</v>
      </c>
      <c r="Y1783" t="s">
        <v>1109</v>
      </c>
    </row>
    <row r="1784" spans="1:25">
      <c r="A1784" t="s">
        <v>2806</v>
      </c>
      <c r="B1784" s="2" t="str">
        <f>Hyperlink("https://www.diodes.com/datasheet/download/DMTH47M2LPSW.pdf")</f>
        <v>https://www.diodes.com/datasheet/download/DMTH47M2LPSW.pdf</v>
      </c>
      <c r="C1784" t="str">
        <f>Hyperlink("https://www.diodes.com/part/view/DMTH47M2LPSW","DMTH47M2LPSW")</f>
        <v>DMTH47M2LPSW</v>
      </c>
      <c r="D1784" t="s">
        <v>1555</v>
      </c>
      <c r="E1784" t="s">
        <v>30</v>
      </c>
      <c r="F1784" t="s">
        <v>28</v>
      </c>
      <c r="G1784" t="s">
        <v>29</v>
      </c>
      <c r="H1784" t="s">
        <v>30</v>
      </c>
      <c r="I1784">
        <v>40</v>
      </c>
      <c r="J1784">
        <v>20</v>
      </c>
      <c r="L1784">
        <v>73</v>
      </c>
      <c r="M1784">
        <v>3.8</v>
      </c>
      <c r="N1784">
        <v>73</v>
      </c>
      <c r="O1784">
        <v>7.3</v>
      </c>
      <c r="P1784">
        <v>12</v>
      </c>
      <c r="T1784">
        <v>2.3</v>
      </c>
      <c r="U1784">
        <v>5.9</v>
      </c>
      <c r="V1784">
        <v>12.6</v>
      </c>
      <c r="W1784">
        <v>891</v>
      </c>
      <c r="X1784">
        <v>20</v>
      </c>
      <c r="Y1784" t="s">
        <v>907</v>
      </c>
    </row>
    <row r="1785" spans="1:25">
      <c r="A1785" t="s">
        <v>2807</v>
      </c>
      <c r="B1785" s="2" t="str">
        <f>Hyperlink("https://www.diodes.com/datasheet/download/DMTH47M2LPSWQ.pdf")</f>
        <v>https://www.diodes.com/datasheet/download/DMTH47M2LPSWQ.pdf</v>
      </c>
      <c r="C1785" t="str">
        <f>Hyperlink("https://www.diodes.com/part/view/DMTH47M2LPSWQ","DMTH47M2LPSWQ")</f>
        <v>DMTH47M2LPSWQ</v>
      </c>
      <c r="D1785" t="s">
        <v>1555</v>
      </c>
      <c r="E1785" t="s">
        <v>27</v>
      </c>
      <c r="F1785" t="s">
        <v>37</v>
      </c>
      <c r="G1785" t="s">
        <v>29</v>
      </c>
      <c r="H1785" t="s">
        <v>30</v>
      </c>
      <c r="I1785">
        <v>40</v>
      </c>
      <c r="J1785">
        <v>20</v>
      </c>
      <c r="L1785">
        <v>73</v>
      </c>
      <c r="M1785">
        <v>3.8</v>
      </c>
      <c r="N1785">
        <v>73</v>
      </c>
      <c r="O1785">
        <v>7.3</v>
      </c>
      <c r="P1785">
        <v>12</v>
      </c>
      <c r="T1785">
        <v>2.3</v>
      </c>
      <c r="U1785">
        <v>5.9</v>
      </c>
      <c r="V1785">
        <v>12.6</v>
      </c>
      <c r="W1785">
        <v>891</v>
      </c>
      <c r="X1785">
        <v>20</v>
      </c>
      <c r="Y1785" t="s">
        <v>907</v>
      </c>
    </row>
    <row r="1786" spans="1:25">
      <c r="A1786" t="s">
        <v>2808</v>
      </c>
      <c r="B1786" s="2" t="str">
        <f>Hyperlink("https://www.diodes.com/datasheet/download/DMTH47M2SK3.pdf")</f>
        <v>https://www.diodes.com/datasheet/download/DMTH47M2SK3.pdf</v>
      </c>
      <c r="C1786" t="str">
        <f>Hyperlink("https://www.diodes.com/part/view/DMTH47M2SK3","DMTH47M2SK3")</f>
        <v>DMTH47M2SK3</v>
      </c>
      <c r="D1786" t="s">
        <v>1555</v>
      </c>
      <c r="E1786" t="s">
        <v>30</v>
      </c>
      <c r="F1786" t="s">
        <v>28</v>
      </c>
      <c r="G1786" t="s">
        <v>29</v>
      </c>
      <c r="H1786" t="s">
        <v>30</v>
      </c>
      <c r="I1786">
        <v>40</v>
      </c>
      <c r="J1786">
        <v>20</v>
      </c>
      <c r="L1786">
        <v>62</v>
      </c>
      <c r="M1786">
        <v>3.5</v>
      </c>
      <c r="N1786">
        <v>50</v>
      </c>
      <c r="O1786">
        <v>7.5</v>
      </c>
      <c r="S1786">
        <v>2</v>
      </c>
      <c r="T1786">
        <v>4</v>
      </c>
      <c r="V1786">
        <v>12.1</v>
      </c>
      <c r="W1786">
        <v>897</v>
      </c>
      <c r="X1786">
        <v>20</v>
      </c>
      <c r="Y1786" t="s">
        <v>681</v>
      </c>
    </row>
    <row r="1787" spans="1:25">
      <c r="A1787" t="s">
        <v>2809</v>
      </c>
      <c r="B1787" s="2" t="str">
        <f>Hyperlink("https://www.diodes.com/datasheet/download/DMTH47M2SPSW.pdf")</f>
        <v>https://www.diodes.com/datasheet/download/DMTH47M2SPSW.pdf</v>
      </c>
      <c r="C1787" t="str">
        <f>Hyperlink("https://www.diodes.com/part/view/DMTH47M2SPSW","DMTH47M2SPSW")</f>
        <v>DMTH47M2SPSW</v>
      </c>
      <c r="D1787" t="s">
        <v>2810</v>
      </c>
      <c r="E1787" t="s">
        <v>27</v>
      </c>
      <c r="F1787" t="s">
        <v>28</v>
      </c>
      <c r="G1787" t="s">
        <v>29</v>
      </c>
      <c r="H1787" t="s">
        <v>30</v>
      </c>
      <c r="I1787">
        <v>40</v>
      </c>
      <c r="J1787">
        <v>20</v>
      </c>
      <c r="L1787">
        <v>73</v>
      </c>
      <c r="M1787">
        <v>3.3</v>
      </c>
      <c r="N1787">
        <v>68</v>
      </c>
      <c r="O1787">
        <v>7.5</v>
      </c>
      <c r="T1787">
        <v>4</v>
      </c>
      <c r="V1787">
        <v>12.1</v>
      </c>
      <c r="W1787">
        <v>897</v>
      </c>
      <c r="X1787">
        <v>20</v>
      </c>
      <c r="Y1787" t="s">
        <v>1546</v>
      </c>
    </row>
    <row r="1788" spans="1:25">
      <c r="A1788" t="s">
        <v>2811</v>
      </c>
      <c r="B1788" s="2" t="str">
        <f>Hyperlink("https://www.diodes.com/datasheet/download/DMTH47M2SPSWQ.pdf")</f>
        <v>https://www.diodes.com/datasheet/download/DMTH47M2SPSWQ.pdf</v>
      </c>
      <c r="C1788" t="str">
        <f>Hyperlink("https://www.diodes.com/part/view/DMTH47M2SPSWQ","DMTH47M2SPSWQ")</f>
        <v>DMTH47M2SPSWQ</v>
      </c>
      <c r="D1788" t="s">
        <v>2810</v>
      </c>
      <c r="E1788" t="s">
        <v>27</v>
      </c>
      <c r="F1788" t="s">
        <v>37</v>
      </c>
      <c r="G1788" t="s">
        <v>29</v>
      </c>
      <c r="H1788" t="s">
        <v>30</v>
      </c>
      <c r="I1788">
        <v>40</v>
      </c>
      <c r="J1788">
        <v>20</v>
      </c>
      <c r="L1788">
        <v>73</v>
      </c>
      <c r="M1788">
        <v>3.3</v>
      </c>
      <c r="N1788">
        <v>68</v>
      </c>
      <c r="O1788">
        <v>7.5</v>
      </c>
      <c r="T1788">
        <v>4</v>
      </c>
      <c r="V1788">
        <v>12.1</v>
      </c>
      <c r="W1788">
        <v>897</v>
      </c>
      <c r="X1788">
        <v>20</v>
      </c>
      <c r="Y1788" t="s">
        <v>1546</v>
      </c>
    </row>
    <row r="1789" spans="1:25">
      <c r="A1789" t="s">
        <v>2812</v>
      </c>
      <c r="B1789" s="2" t="str">
        <f>Hyperlink("https://www.diodes.com/datasheet/download/DMTH48M3SFVW.pdf")</f>
        <v>https://www.diodes.com/datasheet/download/DMTH48M3SFVW.pdf</v>
      </c>
      <c r="C1789" t="str">
        <f>Hyperlink("https://www.diodes.com/part/view/DMTH48M3SFVW","DMTH48M3SFVW")</f>
        <v>DMTH48M3SFVW</v>
      </c>
      <c r="D1789" t="s">
        <v>1314</v>
      </c>
      <c r="E1789" t="s">
        <v>30</v>
      </c>
      <c r="F1789" t="s">
        <v>28</v>
      </c>
      <c r="G1789" t="s">
        <v>29</v>
      </c>
      <c r="H1789" t="s">
        <v>30</v>
      </c>
      <c r="I1789">
        <v>40</v>
      </c>
      <c r="J1789">
        <v>20</v>
      </c>
      <c r="K1789">
        <v>14.6</v>
      </c>
      <c r="L1789">
        <v>52.4</v>
      </c>
      <c r="M1789">
        <v>2.82</v>
      </c>
      <c r="N1789">
        <v>36.6</v>
      </c>
      <c r="O1789">
        <v>8.9</v>
      </c>
      <c r="T1789">
        <v>4</v>
      </c>
      <c r="V1789">
        <v>12.1</v>
      </c>
      <c r="W1789">
        <v>897</v>
      </c>
      <c r="X1789">
        <v>20</v>
      </c>
      <c r="Y1789" t="s">
        <v>836</v>
      </c>
    </row>
    <row r="1790" spans="1:25">
      <c r="A1790" t="s">
        <v>2813</v>
      </c>
      <c r="B1790" s="2" t="str">
        <f>Hyperlink("https://www.diodes.com/datasheet/download/DMTH48M3SFVWQ.pdf")</f>
        <v>https://www.diodes.com/datasheet/download/DMTH48M3SFVWQ.pdf</v>
      </c>
      <c r="C1790" t="str">
        <f>Hyperlink("https://www.diodes.com/part/view/DMTH48M3SFVWQ","DMTH48M3SFVWQ")</f>
        <v>DMTH48M3SFVWQ</v>
      </c>
      <c r="D1790" t="s">
        <v>1555</v>
      </c>
      <c r="E1790" t="s">
        <v>27</v>
      </c>
      <c r="F1790" t="s">
        <v>37</v>
      </c>
      <c r="G1790" t="s">
        <v>29</v>
      </c>
      <c r="H1790" t="s">
        <v>30</v>
      </c>
      <c r="I1790">
        <v>40</v>
      </c>
      <c r="J1790">
        <v>20</v>
      </c>
      <c r="K1790">
        <v>14.6</v>
      </c>
      <c r="L1790">
        <v>52.4</v>
      </c>
      <c r="M1790">
        <v>2.82</v>
      </c>
      <c r="N1790">
        <v>36.6</v>
      </c>
      <c r="O1790">
        <v>8.9</v>
      </c>
      <c r="T1790">
        <v>4</v>
      </c>
      <c r="V1790">
        <v>12.1</v>
      </c>
      <c r="W1790">
        <v>897</v>
      </c>
      <c r="X1790">
        <v>20</v>
      </c>
      <c r="Y1790" t="s">
        <v>836</v>
      </c>
    </row>
    <row r="1791" spans="1:25">
      <c r="A1791" t="s">
        <v>2814</v>
      </c>
      <c r="B1791" s="2" t="str">
        <f>Hyperlink("https://www.diodes.com/datasheet/download/DMTH4M70SPGW.pdf")</f>
        <v>https://www.diodes.com/datasheet/download/DMTH4M70SPGW.pdf</v>
      </c>
      <c r="C1791" t="str">
        <f>Hyperlink("https://www.diodes.com/part/view/DMTH4M70SPGW","DMTH4M70SPGW")</f>
        <v>DMTH4M70SPGW</v>
      </c>
      <c r="D1791" t="s">
        <v>2815</v>
      </c>
      <c r="E1791" t="s">
        <v>30</v>
      </c>
      <c r="F1791" t="s">
        <v>28</v>
      </c>
      <c r="G1791" t="s">
        <v>29</v>
      </c>
      <c r="H1791" t="s">
        <v>30</v>
      </c>
      <c r="I1791">
        <v>40</v>
      </c>
      <c r="J1791">
        <v>20</v>
      </c>
      <c r="L1791">
        <v>460</v>
      </c>
      <c r="M1791">
        <v>5.6</v>
      </c>
      <c r="N1791">
        <v>428</v>
      </c>
      <c r="O1791">
        <v>0.7</v>
      </c>
      <c r="S1791">
        <v>2</v>
      </c>
      <c r="T1791">
        <v>4</v>
      </c>
      <c r="V1791">
        <v>117.1</v>
      </c>
      <c r="W1791">
        <v>10053</v>
      </c>
      <c r="X1791">
        <v>20</v>
      </c>
      <c r="Y1791" t="s">
        <v>2816</v>
      </c>
    </row>
    <row r="1792" spans="1:25">
      <c r="A1792" t="s">
        <v>2817</v>
      </c>
      <c r="B1792" s="2" t="str">
        <f>Hyperlink("https://www.diodes.com/datasheet/download/DMTH4M70SPGWQ.pdf")</f>
        <v>https://www.diodes.com/datasheet/download/DMTH4M70SPGWQ.pdf</v>
      </c>
      <c r="C1792" t="str">
        <f>Hyperlink("https://www.diodes.com/part/view/DMTH4M70SPGWQ","DMTH4M70SPGWQ")</f>
        <v>DMTH4M70SPGWQ</v>
      </c>
      <c r="D1792" t="s">
        <v>2815</v>
      </c>
      <c r="E1792" t="s">
        <v>27</v>
      </c>
      <c r="F1792" t="s">
        <v>37</v>
      </c>
      <c r="G1792" t="s">
        <v>29</v>
      </c>
      <c r="H1792" t="s">
        <v>30</v>
      </c>
      <c r="I1792">
        <v>40</v>
      </c>
      <c r="J1792">
        <v>20</v>
      </c>
      <c r="L1792">
        <v>460</v>
      </c>
      <c r="M1792">
        <v>5.6</v>
      </c>
      <c r="N1792">
        <v>428</v>
      </c>
      <c r="O1792">
        <v>0.7</v>
      </c>
      <c r="S1792">
        <v>2</v>
      </c>
      <c r="T1792">
        <v>4</v>
      </c>
      <c r="V1792">
        <v>117.1</v>
      </c>
      <c r="W1792">
        <v>10053</v>
      </c>
      <c r="X1792">
        <v>20</v>
      </c>
      <c r="Y1792" t="s">
        <v>2816</v>
      </c>
    </row>
    <row r="1793" spans="1:25">
      <c r="A1793" t="s">
        <v>2818</v>
      </c>
      <c r="B1793" s="2" t="str">
        <f>Hyperlink("https://www.diodes.com/datasheet/download/DMTH4M75LPSW.pdf")</f>
        <v>https://www.diodes.com/datasheet/download/DMTH4M75LPSW.pdf</v>
      </c>
      <c r="C1793" t="str">
        <f>Hyperlink("https://www.diodes.com/part/view/DMTH4M75LPSW","DMTH4M75LPSW")</f>
        <v>DMTH4M75LPSW</v>
      </c>
      <c r="D1793" t="s">
        <v>2709</v>
      </c>
      <c r="E1793" t="s">
        <v>30</v>
      </c>
      <c r="F1793" t="s">
        <v>28</v>
      </c>
      <c r="G1793" t="s">
        <v>29</v>
      </c>
      <c r="H1793" t="s">
        <v>30</v>
      </c>
      <c r="I1793">
        <v>40</v>
      </c>
      <c r="J1793">
        <v>20</v>
      </c>
      <c r="L1793">
        <v>337</v>
      </c>
      <c r="M1793">
        <v>3.5</v>
      </c>
      <c r="N1793">
        <v>150</v>
      </c>
      <c r="O1793">
        <v>0.75</v>
      </c>
      <c r="P1793">
        <v>1.3</v>
      </c>
      <c r="S1793">
        <v>1</v>
      </c>
      <c r="T1793">
        <v>3</v>
      </c>
      <c r="U1793">
        <v>50</v>
      </c>
      <c r="V1793">
        <v>111</v>
      </c>
      <c r="W1793">
        <v>9308</v>
      </c>
      <c r="X1793">
        <v>20</v>
      </c>
      <c r="Y1793" t="s">
        <v>1546</v>
      </c>
    </row>
    <row r="1794" spans="1:25">
      <c r="A1794" t="s">
        <v>2819</v>
      </c>
      <c r="B1794" s="2" t="str">
        <f>Hyperlink("https://www.diodes.com/datasheet/download/DMTH4M75LPSWQ.pdf")</f>
        <v>https://www.diodes.com/datasheet/download/DMTH4M75LPSWQ.pdf</v>
      </c>
      <c r="C1794" t="str">
        <f>Hyperlink("https://www.diodes.com/part/view/DMTH4M75LPSWQ","DMTH4M75LPSWQ")</f>
        <v>DMTH4M75LPSWQ</v>
      </c>
      <c r="D1794" t="s">
        <v>2709</v>
      </c>
      <c r="E1794" t="s">
        <v>27</v>
      </c>
      <c r="F1794" t="s">
        <v>37</v>
      </c>
      <c r="G1794" t="s">
        <v>29</v>
      </c>
      <c r="H1794" t="s">
        <v>30</v>
      </c>
      <c r="I1794">
        <v>40</v>
      </c>
      <c r="J1794">
        <v>20</v>
      </c>
      <c r="L1794">
        <v>337</v>
      </c>
      <c r="M1794">
        <v>3.5</v>
      </c>
      <c r="N1794">
        <v>150</v>
      </c>
      <c r="O1794">
        <v>0.75</v>
      </c>
      <c r="P1794">
        <v>1.3</v>
      </c>
      <c r="S1794">
        <v>1</v>
      </c>
      <c r="T1794">
        <v>3</v>
      </c>
      <c r="U1794">
        <v>50</v>
      </c>
      <c r="V1794">
        <v>111</v>
      </c>
      <c r="W1794">
        <v>9308</v>
      </c>
      <c r="X1794">
        <v>20</v>
      </c>
      <c r="Y1794" t="s">
        <v>1546</v>
      </c>
    </row>
    <row r="1795" spans="1:25">
      <c r="A1795" t="s">
        <v>2820</v>
      </c>
      <c r="B1795" s="2" t="str">
        <f>Hyperlink("https://www.diodes.com/datasheet/download/DMTH4M75SPSW.pdf")</f>
        <v>https://www.diodes.com/datasheet/download/DMTH4M75SPSW.pdf</v>
      </c>
      <c r="C1795" t="str">
        <f>Hyperlink("https://www.diodes.com/part/view/DMTH4M75SPSW","DMTH4M75SPSW")</f>
        <v>DMTH4M75SPSW</v>
      </c>
      <c r="D1795" t="s">
        <v>2709</v>
      </c>
      <c r="E1795" t="s">
        <v>30</v>
      </c>
      <c r="F1795" t="s">
        <v>28</v>
      </c>
      <c r="G1795" t="s">
        <v>29</v>
      </c>
      <c r="H1795" t="s">
        <v>30</v>
      </c>
      <c r="I1795">
        <v>40</v>
      </c>
      <c r="J1795">
        <v>20</v>
      </c>
      <c r="L1795">
        <v>337</v>
      </c>
      <c r="M1795">
        <v>3.9</v>
      </c>
      <c r="N1795">
        <v>150</v>
      </c>
      <c r="O1795">
        <v>0.75</v>
      </c>
      <c r="S1795">
        <v>2</v>
      </c>
      <c r="T1795">
        <v>4</v>
      </c>
      <c r="V1795">
        <v>115</v>
      </c>
      <c r="W1795">
        <v>9434</v>
      </c>
      <c r="X1795">
        <v>20</v>
      </c>
      <c r="Y1795" t="s">
        <v>1546</v>
      </c>
    </row>
    <row r="1796" spans="1:25">
      <c r="A1796" t="s">
        <v>2821</v>
      </c>
      <c r="B1796" s="2" t="str">
        <f>Hyperlink("https://www.diodes.com/datasheet/download/DMTH4M75SPSWQ.pdf")</f>
        <v>https://www.diodes.com/datasheet/download/DMTH4M75SPSWQ.pdf</v>
      </c>
      <c r="C1796" t="str">
        <f>Hyperlink("https://www.diodes.com/part/view/DMTH4M75SPSWQ","DMTH4M75SPSWQ")</f>
        <v>DMTH4M75SPSWQ</v>
      </c>
      <c r="D1796" t="s">
        <v>2709</v>
      </c>
      <c r="E1796" t="s">
        <v>27</v>
      </c>
      <c r="F1796" t="s">
        <v>37</v>
      </c>
      <c r="G1796" t="s">
        <v>29</v>
      </c>
      <c r="H1796" t="s">
        <v>30</v>
      </c>
      <c r="I1796">
        <v>40</v>
      </c>
      <c r="J1796">
        <v>20</v>
      </c>
      <c r="L1796">
        <v>337</v>
      </c>
      <c r="M1796">
        <v>3.9</v>
      </c>
      <c r="N1796">
        <v>150</v>
      </c>
      <c r="O1796">
        <v>0.75</v>
      </c>
      <c r="S1796">
        <v>2</v>
      </c>
      <c r="T1796">
        <v>4</v>
      </c>
      <c r="V1796">
        <v>115</v>
      </c>
      <c r="W1796">
        <v>9434</v>
      </c>
      <c r="X1796">
        <v>20</v>
      </c>
      <c r="Y1796" t="s">
        <v>1546</v>
      </c>
    </row>
    <row r="1797" spans="1:25">
      <c r="A1797" t="s">
        <v>2822</v>
      </c>
      <c r="B1797" s="2" t="str">
        <f>Hyperlink("https://www.diodes.com/datasheet/download/DMTH4M90LPSW.pdf")</f>
        <v>https://www.diodes.com/datasheet/download/DMTH4M90LPSW.pdf</v>
      </c>
      <c r="C1797" t="str">
        <f>Hyperlink("https://www.diodes.com/part/view/DMTH4M90LPSW","DMTH4M90LPSW")</f>
        <v>DMTH4M90LPSW</v>
      </c>
      <c r="D1797" t="s">
        <v>2709</v>
      </c>
      <c r="E1797" t="s">
        <v>30</v>
      </c>
      <c r="F1797" t="s">
        <v>28</v>
      </c>
      <c r="G1797" t="s">
        <v>29</v>
      </c>
      <c r="H1797" t="s">
        <v>30</v>
      </c>
      <c r="I1797">
        <v>40</v>
      </c>
      <c r="J1797">
        <v>20</v>
      </c>
      <c r="L1797">
        <v>356</v>
      </c>
      <c r="M1797">
        <v>4.2</v>
      </c>
      <c r="N1797">
        <v>200</v>
      </c>
      <c r="O1797">
        <v>0.9</v>
      </c>
      <c r="P1797">
        <v>1.5</v>
      </c>
      <c r="S1797">
        <v>1</v>
      </c>
      <c r="T1797">
        <v>3</v>
      </c>
      <c r="V1797">
        <v>50</v>
      </c>
      <c r="W1797">
        <v>111</v>
      </c>
      <c r="X1797">
        <v>20</v>
      </c>
      <c r="Y1797" t="s">
        <v>1546</v>
      </c>
    </row>
    <row r="1798" spans="1:25">
      <c r="A1798" t="s">
        <v>2823</v>
      </c>
      <c r="B1798" s="2" t="str">
        <f>Hyperlink("https://www.diodes.com/datasheet/download/DMTH4M90LPSWQ.pdf")</f>
        <v>https://www.diodes.com/datasheet/download/DMTH4M90LPSWQ.pdf</v>
      </c>
      <c r="C1798" t="str">
        <f>Hyperlink("https://www.diodes.com/part/view/DMTH4M90LPSWQ","DMTH4M90LPSWQ")</f>
        <v>DMTH4M90LPSWQ</v>
      </c>
      <c r="D1798" t="s">
        <v>2709</v>
      </c>
      <c r="E1798" t="s">
        <v>27</v>
      </c>
      <c r="F1798" t="s">
        <v>37</v>
      </c>
      <c r="G1798" t="s">
        <v>29</v>
      </c>
      <c r="H1798" t="s">
        <v>30</v>
      </c>
      <c r="I1798">
        <v>40</v>
      </c>
      <c r="J1798">
        <v>20</v>
      </c>
      <c r="L1798">
        <v>356</v>
      </c>
      <c r="M1798">
        <v>4.2</v>
      </c>
      <c r="N1798">
        <v>200</v>
      </c>
      <c r="O1798">
        <v>0.9</v>
      </c>
      <c r="P1798">
        <v>1.5</v>
      </c>
      <c r="S1798">
        <v>1</v>
      </c>
      <c r="T1798">
        <v>3</v>
      </c>
      <c r="V1798">
        <v>50</v>
      </c>
      <c r="W1798">
        <v>111</v>
      </c>
      <c r="X1798">
        <v>20</v>
      </c>
      <c r="Y1798" t="s">
        <v>1546</v>
      </c>
    </row>
    <row r="1799" spans="1:25">
      <c r="A1799" t="s">
        <v>2824</v>
      </c>
      <c r="B1799" s="2" t="str">
        <f>Hyperlink("https://www.diodes.com/datasheet/download/DMTH4M90SPSW.pdf")</f>
        <v>https://www.diodes.com/datasheet/download/DMTH4M90SPSW.pdf</v>
      </c>
      <c r="C1799" t="str">
        <f>Hyperlink("https://www.diodes.com/part/view/DMTH4M90SPSW","DMTH4M90SPSW")</f>
        <v>DMTH4M90SPSW</v>
      </c>
      <c r="D1799" t="s">
        <v>2709</v>
      </c>
      <c r="E1799" t="s">
        <v>30</v>
      </c>
      <c r="F1799" t="s">
        <v>28</v>
      </c>
      <c r="G1799" t="s">
        <v>29</v>
      </c>
      <c r="H1799" t="s">
        <v>30</v>
      </c>
      <c r="I1799">
        <v>40</v>
      </c>
      <c r="J1799">
        <v>20</v>
      </c>
      <c r="L1799">
        <v>278</v>
      </c>
      <c r="M1799">
        <v>2.6</v>
      </c>
      <c r="N1799">
        <v>125</v>
      </c>
      <c r="O1799">
        <v>0.9</v>
      </c>
      <c r="S1799">
        <v>2</v>
      </c>
      <c r="T1799">
        <v>4</v>
      </c>
      <c r="V1799">
        <v>115</v>
      </c>
      <c r="W1799">
        <v>9434</v>
      </c>
      <c r="X1799">
        <v>20</v>
      </c>
      <c r="Y1799" t="s">
        <v>1546</v>
      </c>
    </row>
    <row r="1800" spans="1:25">
      <c r="A1800" t="s">
        <v>2825</v>
      </c>
      <c r="B1800" s="2" t="str">
        <f>Hyperlink("https://www.diodes.com/datasheet/download/DMTH4M90SPSWQ.pdf")</f>
        <v>https://www.diodes.com/datasheet/download/DMTH4M90SPSWQ.pdf</v>
      </c>
      <c r="C1800" t="str">
        <f>Hyperlink("https://www.diodes.com/part/view/DMTH4M90SPSWQ","DMTH4M90SPSWQ")</f>
        <v>DMTH4M90SPSWQ</v>
      </c>
      <c r="D1800" t="s">
        <v>2709</v>
      </c>
      <c r="E1800" t="s">
        <v>27</v>
      </c>
      <c r="F1800" t="s">
        <v>37</v>
      </c>
      <c r="G1800" t="s">
        <v>29</v>
      </c>
      <c r="H1800" t="s">
        <v>30</v>
      </c>
      <c r="I1800">
        <v>40</v>
      </c>
      <c r="J1800">
        <v>20</v>
      </c>
      <c r="L1800">
        <v>278</v>
      </c>
      <c r="M1800">
        <v>2.6</v>
      </c>
      <c r="N1800">
        <v>125</v>
      </c>
      <c r="O1800">
        <v>0.9</v>
      </c>
      <c r="S1800">
        <v>2</v>
      </c>
      <c r="T1800">
        <v>4</v>
      </c>
      <c r="V1800">
        <v>115</v>
      </c>
      <c r="W1800">
        <v>9434</v>
      </c>
      <c r="X1800">
        <v>20</v>
      </c>
      <c r="Y1800" t="s">
        <v>1546</v>
      </c>
    </row>
    <row r="1801" spans="1:25">
      <c r="A1801" t="s">
        <v>2826</v>
      </c>
      <c r="B1801" s="2" t="str">
        <f>Hyperlink("https://www.diodes.com/datasheet/download/DMTH6002LPS.pdf")</f>
        <v>https://www.diodes.com/datasheet/download/DMTH6002LPS.pdf</v>
      </c>
      <c r="C1801" t="str">
        <f>Hyperlink("https://www.diodes.com/part/view/DMTH6002LPS","DMTH6002LPS")</f>
        <v>DMTH6002LPS</v>
      </c>
      <c r="D1801" t="s">
        <v>1580</v>
      </c>
      <c r="E1801" t="s">
        <v>27</v>
      </c>
      <c r="F1801" t="s">
        <v>28</v>
      </c>
      <c r="G1801" t="s">
        <v>29</v>
      </c>
      <c r="H1801" t="s">
        <v>30</v>
      </c>
      <c r="I1801">
        <v>60</v>
      </c>
      <c r="J1801">
        <v>20</v>
      </c>
      <c r="L1801">
        <v>100</v>
      </c>
      <c r="M1801">
        <v>2.3</v>
      </c>
      <c r="N1801">
        <v>167</v>
      </c>
      <c r="O1801">
        <v>2</v>
      </c>
      <c r="P1801">
        <v>3.3</v>
      </c>
      <c r="T1801">
        <v>3</v>
      </c>
      <c r="U1801">
        <v>63.6</v>
      </c>
      <c r="V1801">
        <v>130.8</v>
      </c>
      <c r="W1801">
        <v>6555</v>
      </c>
      <c r="X1801">
        <v>30</v>
      </c>
      <c r="Y1801" t="s">
        <v>907</v>
      </c>
    </row>
    <row r="1802" spans="1:25">
      <c r="A1802" t="s">
        <v>2827</v>
      </c>
      <c r="B1802" s="2" t="str">
        <f>Hyperlink("https://www.diodes.com/datasheet/download/DMTH6002LPSW.pdf")</f>
        <v>https://www.diodes.com/datasheet/download/DMTH6002LPSW.pdf</v>
      </c>
      <c r="C1802" t="str">
        <f>Hyperlink("https://www.diodes.com/part/view/DMTH6002LPSW","DMTH6002LPSW")</f>
        <v>DMTH6002LPSW</v>
      </c>
      <c r="D1802" t="s">
        <v>1578</v>
      </c>
      <c r="E1802" t="s">
        <v>30</v>
      </c>
      <c r="F1802" t="s">
        <v>28</v>
      </c>
      <c r="G1802" t="s">
        <v>29</v>
      </c>
      <c r="H1802" t="s">
        <v>30</v>
      </c>
      <c r="I1802">
        <v>60</v>
      </c>
      <c r="J1802">
        <v>20</v>
      </c>
      <c r="L1802">
        <v>190</v>
      </c>
      <c r="M1802">
        <v>3.13</v>
      </c>
      <c r="N1802">
        <v>190</v>
      </c>
      <c r="O1802">
        <v>2</v>
      </c>
      <c r="P1802">
        <v>3.3</v>
      </c>
      <c r="T1802">
        <v>3</v>
      </c>
      <c r="U1802">
        <v>68</v>
      </c>
      <c r="V1802">
        <v>131</v>
      </c>
      <c r="W1802">
        <v>8289</v>
      </c>
      <c r="X1802">
        <v>30</v>
      </c>
      <c r="Y1802" t="s">
        <v>907</v>
      </c>
    </row>
    <row r="1803" spans="1:25">
      <c r="A1803" t="s">
        <v>2828</v>
      </c>
      <c r="B1803" s="2" t="str">
        <f>Hyperlink("https://www.diodes.com/datasheet/download/DMTH6002LPSWQ.pdf")</f>
        <v>https://www.diodes.com/datasheet/download/DMTH6002LPSWQ.pdf</v>
      </c>
      <c r="C1803" t="str">
        <f>Hyperlink("https://www.diodes.com/part/view/DMTH6002LPSWQ","DMTH6002LPSWQ")</f>
        <v>DMTH6002LPSWQ</v>
      </c>
      <c r="D1803" t="s">
        <v>1578</v>
      </c>
      <c r="E1803" t="s">
        <v>27</v>
      </c>
      <c r="F1803" t="s">
        <v>37</v>
      </c>
      <c r="G1803" t="s">
        <v>29</v>
      </c>
      <c r="H1803" t="s">
        <v>30</v>
      </c>
      <c r="I1803">
        <v>60</v>
      </c>
      <c r="J1803">
        <v>20</v>
      </c>
      <c r="L1803">
        <v>190</v>
      </c>
      <c r="M1803">
        <v>3.13</v>
      </c>
      <c r="N1803">
        <v>190</v>
      </c>
      <c r="O1803">
        <v>2</v>
      </c>
      <c r="P1803">
        <v>3.3</v>
      </c>
      <c r="T1803">
        <v>3</v>
      </c>
      <c r="U1803">
        <v>68</v>
      </c>
      <c r="V1803">
        <v>131</v>
      </c>
      <c r="W1803">
        <v>8289</v>
      </c>
      <c r="X1803">
        <v>30</v>
      </c>
      <c r="Y1803" t="s">
        <v>907</v>
      </c>
    </row>
    <row r="1804" spans="1:25">
      <c r="A1804" t="s">
        <v>2829</v>
      </c>
      <c r="B1804" s="2" t="str">
        <f>Hyperlink("https://www.diodes.com/datasheet/download/DMTH6004LPS.pdf")</f>
        <v>https://www.diodes.com/datasheet/download/DMTH6004LPS.pdf</v>
      </c>
      <c r="C1804" t="str">
        <f>Hyperlink("https://www.diodes.com/part/view/DMTH6004LPS","DMTH6004LPS")</f>
        <v>DMTH6004LPS</v>
      </c>
      <c r="D1804" t="s">
        <v>1580</v>
      </c>
      <c r="E1804" t="s">
        <v>27</v>
      </c>
      <c r="F1804" t="s">
        <v>28</v>
      </c>
      <c r="G1804" t="s">
        <v>29</v>
      </c>
      <c r="H1804" t="s">
        <v>30</v>
      </c>
      <c r="I1804">
        <v>60</v>
      </c>
      <c r="J1804">
        <v>20</v>
      </c>
      <c r="K1804">
        <v>22</v>
      </c>
      <c r="L1804">
        <v>100</v>
      </c>
      <c r="M1804">
        <v>2.6</v>
      </c>
      <c r="N1804">
        <v>138</v>
      </c>
      <c r="O1804">
        <v>3.1</v>
      </c>
      <c r="P1804">
        <v>4.5</v>
      </c>
      <c r="T1804">
        <v>3</v>
      </c>
      <c r="U1804">
        <v>38.5</v>
      </c>
      <c r="V1804">
        <v>78.3</v>
      </c>
      <c r="W1804">
        <v>5399</v>
      </c>
      <c r="X1804">
        <v>30</v>
      </c>
      <c r="Y1804" t="s">
        <v>907</v>
      </c>
    </row>
    <row r="1805" spans="1:25">
      <c r="A1805" t="s">
        <v>2830</v>
      </c>
      <c r="B1805" s="2" t="str">
        <f>Hyperlink("https://www.diodes.com/datasheet/download/DMTH6004LPSQ.pdf")</f>
        <v>https://www.diodes.com/datasheet/download/DMTH6004LPSQ.pdf</v>
      </c>
      <c r="C1805" t="str">
        <f>Hyperlink("https://www.diodes.com/part/view/DMTH6004LPSQ","DMTH6004LPSQ")</f>
        <v>DMTH6004LPSQ</v>
      </c>
      <c r="D1805" t="s">
        <v>1580</v>
      </c>
      <c r="E1805" t="s">
        <v>27</v>
      </c>
      <c r="F1805" t="s">
        <v>37</v>
      </c>
      <c r="G1805" t="s">
        <v>29</v>
      </c>
      <c r="H1805" t="s">
        <v>30</v>
      </c>
      <c r="I1805">
        <v>60</v>
      </c>
      <c r="J1805">
        <v>20</v>
      </c>
      <c r="K1805">
        <v>22</v>
      </c>
      <c r="L1805">
        <v>100</v>
      </c>
      <c r="M1805">
        <v>2.6</v>
      </c>
      <c r="N1805">
        <v>138</v>
      </c>
      <c r="O1805">
        <v>3.1</v>
      </c>
      <c r="P1805">
        <v>4.5</v>
      </c>
      <c r="T1805">
        <v>3</v>
      </c>
      <c r="U1805">
        <v>47.4</v>
      </c>
      <c r="V1805">
        <v>96.3</v>
      </c>
      <c r="W1805">
        <v>4515</v>
      </c>
      <c r="X1805">
        <v>30</v>
      </c>
      <c r="Y1805" t="s">
        <v>907</v>
      </c>
    </row>
    <row r="1806" spans="1:25">
      <c r="A1806" t="s">
        <v>2831</v>
      </c>
      <c r="B1806" s="2" t="str">
        <f>Hyperlink("https://www.diodes.com/datasheet/download/DMTH6004LPSWQ.pdf")</f>
        <v>https://www.diodes.com/datasheet/download/DMTH6004LPSWQ.pdf</v>
      </c>
      <c r="C1806" t="str">
        <f>Hyperlink("https://www.diodes.com/part/view/DMTH6004LPSWQ","DMTH6004LPSWQ")</f>
        <v>DMTH6004LPSWQ</v>
      </c>
      <c r="D1806" t="s">
        <v>1586</v>
      </c>
      <c r="E1806" t="s">
        <v>27</v>
      </c>
      <c r="F1806" t="s">
        <v>37</v>
      </c>
      <c r="G1806" t="s">
        <v>29</v>
      </c>
      <c r="H1806" t="s">
        <v>30</v>
      </c>
      <c r="I1806">
        <v>60</v>
      </c>
      <c r="J1806">
        <v>20</v>
      </c>
      <c r="L1806">
        <v>100</v>
      </c>
      <c r="M1806">
        <v>2.6</v>
      </c>
      <c r="N1806">
        <v>138</v>
      </c>
      <c r="O1806">
        <v>3.1</v>
      </c>
      <c r="S1806">
        <v>1</v>
      </c>
      <c r="T1806">
        <v>3</v>
      </c>
      <c r="V1806">
        <v>78.3</v>
      </c>
      <c r="W1806">
        <v>5399</v>
      </c>
      <c r="X1806">
        <v>30</v>
      </c>
      <c r="Y1806" t="s">
        <v>1546</v>
      </c>
    </row>
    <row r="1807" spans="1:25">
      <c r="A1807" t="s">
        <v>2832</v>
      </c>
      <c r="B1807" s="2" t="str">
        <f>Hyperlink("https://www.diodes.com/datasheet/download/DMTH6004SCT.pdf")</f>
        <v>https://www.diodes.com/datasheet/download/DMTH6004SCT.pdf</v>
      </c>
      <c r="C1807" t="str">
        <f>Hyperlink("https://www.diodes.com/part/view/DMTH6004SCT","DMTH6004SCT")</f>
        <v>DMTH6004SCT</v>
      </c>
      <c r="D1807" t="s">
        <v>1580</v>
      </c>
      <c r="E1807" t="s">
        <v>27</v>
      </c>
      <c r="F1807" t="s">
        <v>28</v>
      </c>
      <c r="G1807" t="s">
        <v>29</v>
      </c>
      <c r="H1807" t="s">
        <v>30</v>
      </c>
      <c r="I1807">
        <v>60</v>
      </c>
      <c r="J1807">
        <v>20</v>
      </c>
      <c r="L1807">
        <v>100</v>
      </c>
      <c r="M1807">
        <v>2.8</v>
      </c>
      <c r="N1807">
        <v>136</v>
      </c>
      <c r="O1807">
        <v>3.65</v>
      </c>
      <c r="T1807">
        <v>4</v>
      </c>
      <c r="V1807">
        <v>95.4</v>
      </c>
      <c r="W1807">
        <v>4556</v>
      </c>
      <c r="X1807">
        <v>30</v>
      </c>
      <c r="Y1807" t="s">
        <v>1535</v>
      </c>
    </row>
    <row r="1808" spans="1:25">
      <c r="A1808" t="s">
        <v>2833</v>
      </c>
      <c r="B1808" s="2" t="str">
        <f>Hyperlink("https://www.diodes.com/datasheet/download/DMTH6004SCTB.pdf")</f>
        <v>https://www.diodes.com/datasheet/download/DMTH6004SCTB.pdf</v>
      </c>
      <c r="C1808" t="str">
        <f>Hyperlink("https://www.diodes.com/part/view/DMTH6004SCTB","DMTH6004SCTB")</f>
        <v>DMTH6004SCTB</v>
      </c>
      <c r="D1808" t="s">
        <v>1580</v>
      </c>
      <c r="E1808" t="s">
        <v>27</v>
      </c>
      <c r="F1808" t="s">
        <v>28</v>
      </c>
      <c r="G1808" t="s">
        <v>29</v>
      </c>
      <c r="H1808" t="s">
        <v>30</v>
      </c>
      <c r="I1808">
        <v>60</v>
      </c>
      <c r="J1808">
        <v>20</v>
      </c>
      <c r="L1808">
        <v>100</v>
      </c>
      <c r="M1808">
        <v>4.7</v>
      </c>
      <c r="N1808">
        <v>136</v>
      </c>
      <c r="O1808">
        <v>3.4</v>
      </c>
      <c r="T1808">
        <v>4</v>
      </c>
      <c r="V1808">
        <v>95.4</v>
      </c>
      <c r="W1808">
        <v>4556</v>
      </c>
      <c r="X1808">
        <v>30</v>
      </c>
      <c r="Y1808" t="s">
        <v>1385</v>
      </c>
    </row>
    <row r="1809" spans="1:25">
      <c r="A1809" t="s">
        <v>2834</v>
      </c>
      <c r="B1809" s="2" t="str">
        <f>Hyperlink("https://www.diodes.com/datasheet/download/DMTH6004SCTBQ.pdf")</f>
        <v>https://www.diodes.com/datasheet/download/DMTH6004SCTBQ.pdf</v>
      </c>
      <c r="C1809" t="str">
        <f>Hyperlink("https://www.diodes.com/part/view/DMTH6004SCTBQ","DMTH6004SCTBQ")</f>
        <v>DMTH6004SCTBQ</v>
      </c>
      <c r="D1809" t="s">
        <v>1580</v>
      </c>
      <c r="E1809" t="s">
        <v>27</v>
      </c>
      <c r="F1809" t="s">
        <v>37</v>
      </c>
      <c r="G1809" t="s">
        <v>29</v>
      </c>
      <c r="H1809" t="s">
        <v>30</v>
      </c>
      <c r="I1809">
        <v>60</v>
      </c>
      <c r="J1809">
        <v>20</v>
      </c>
      <c r="L1809">
        <v>100</v>
      </c>
      <c r="M1809">
        <v>4.7</v>
      </c>
      <c r="N1809">
        <v>136</v>
      </c>
      <c r="O1809">
        <v>3.4</v>
      </c>
      <c r="T1809">
        <v>4</v>
      </c>
      <c r="V1809">
        <v>95.4</v>
      </c>
      <c r="W1809">
        <v>4556</v>
      </c>
      <c r="X1809">
        <v>30</v>
      </c>
      <c r="Y1809" t="s">
        <v>1385</v>
      </c>
    </row>
    <row r="1810" spans="1:25">
      <c r="A1810" t="s">
        <v>2835</v>
      </c>
      <c r="B1810" s="2" t="str">
        <f>Hyperlink("https://www.diodes.com/datasheet/download/DMTH6004SK3.pdf")</f>
        <v>https://www.diodes.com/datasheet/download/DMTH6004SK3.pdf</v>
      </c>
      <c r="C1810" t="str">
        <f>Hyperlink("https://www.diodes.com/part/view/DMTH6004SK3","DMTH6004SK3")</f>
        <v>DMTH6004SK3</v>
      </c>
      <c r="D1810" t="s">
        <v>1580</v>
      </c>
      <c r="E1810" t="s">
        <v>27</v>
      </c>
      <c r="F1810" t="s">
        <v>28</v>
      </c>
      <c r="G1810" t="s">
        <v>29</v>
      </c>
      <c r="H1810" t="s">
        <v>30</v>
      </c>
      <c r="I1810">
        <v>60</v>
      </c>
      <c r="J1810">
        <v>20</v>
      </c>
      <c r="L1810">
        <v>100</v>
      </c>
      <c r="M1810">
        <v>3.9</v>
      </c>
      <c r="N1810">
        <v>180</v>
      </c>
      <c r="O1810">
        <v>3.8</v>
      </c>
      <c r="T1810">
        <v>4</v>
      </c>
      <c r="V1810">
        <v>95.4</v>
      </c>
      <c r="W1810">
        <v>4556</v>
      </c>
      <c r="X1810">
        <v>30</v>
      </c>
      <c r="Y1810" t="s">
        <v>681</v>
      </c>
    </row>
    <row r="1811" spans="1:25">
      <c r="A1811" t="s">
        <v>2836</v>
      </c>
      <c r="B1811" s="2" t="str">
        <f>Hyperlink("https://www.diodes.com/datasheet/download/DMTH6004SK3Q.pdf")</f>
        <v>https://www.diodes.com/datasheet/download/DMTH6004SK3Q.pdf</v>
      </c>
      <c r="C1811" t="str">
        <f>Hyperlink("https://www.diodes.com/part/view/DMTH6004SK3Q","DMTH6004SK3Q")</f>
        <v>DMTH6004SK3Q</v>
      </c>
      <c r="D1811" t="s">
        <v>1580</v>
      </c>
      <c r="E1811" t="s">
        <v>27</v>
      </c>
      <c r="F1811" t="s">
        <v>37</v>
      </c>
      <c r="G1811" t="s">
        <v>29</v>
      </c>
      <c r="H1811" t="s">
        <v>30</v>
      </c>
      <c r="I1811">
        <v>60</v>
      </c>
      <c r="J1811">
        <v>20</v>
      </c>
      <c r="L1811">
        <v>100</v>
      </c>
      <c r="M1811">
        <v>3.9</v>
      </c>
      <c r="N1811">
        <v>180</v>
      </c>
      <c r="O1811">
        <v>3.8</v>
      </c>
      <c r="T1811">
        <v>4</v>
      </c>
      <c r="V1811">
        <v>95.4</v>
      </c>
      <c r="W1811">
        <v>4556</v>
      </c>
      <c r="X1811">
        <v>30</v>
      </c>
      <c r="Y1811" t="s">
        <v>681</v>
      </c>
    </row>
    <row r="1812" spans="1:25">
      <c r="A1812" t="s">
        <v>2837</v>
      </c>
      <c r="B1812" s="2" t="str">
        <f>Hyperlink("https://www.diodes.com/datasheet/download/DMTH6004SPS.pdf")</f>
        <v>https://www.diodes.com/datasheet/download/DMTH6004SPS.pdf</v>
      </c>
      <c r="C1812" t="str">
        <f>Hyperlink("https://www.diodes.com/part/view/DMTH6004SPS","DMTH6004SPS")</f>
        <v>DMTH6004SPS</v>
      </c>
      <c r="D1812" t="s">
        <v>1578</v>
      </c>
      <c r="E1812" t="s">
        <v>27</v>
      </c>
      <c r="F1812" t="s">
        <v>28</v>
      </c>
      <c r="G1812" t="s">
        <v>29</v>
      </c>
      <c r="H1812" t="s">
        <v>30</v>
      </c>
      <c r="I1812">
        <v>60</v>
      </c>
      <c r="J1812">
        <v>20</v>
      </c>
      <c r="K1812">
        <v>25</v>
      </c>
      <c r="L1812">
        <v>100</v>
      </c>
      <c r="M1812">
        <v>2.1</v>
      </c>
      <c r="N1812">
        <v>167</v>
      </c>
      <c r="O1812">
        <v>3.1</v>
      </c>
      <c r="T1812">
        <v>4</v>
      </c>
      <c r="V1812">
        <v>95.4</v>
      </c>
      <c r="W1812">
        <v>4556</v>
      </c>
      <c r="X1812">
        <v>30</v>
      </c>
      <c r="Y1812" t="s">
        <v>907</v>
      </c>
    </row>
    <row r="1813" spans="1:25">
      <c r="A1813" t="s">
        <v>2838</v>
      </c>
      <c r="B1813" s="2" t="str">
        <f>Hyperlink("https://www.diodes.com/datasheet/download/DMTH6004SPSQ.pdf")</f>
        <v>https://www.diodes.com/datasheet/download/DMTH6004SPSQ.pdf</v>
      </c>
      <c r="C1813" t="str">
        <f>Hyperlink("https://www.diodes.com/part/view/DMTH6004SPSQ","DMTH6004SPSQ")</f>
        <v>DMTH6004SPSQ</v>
      </c>
      <c r="D1813" t="s">
        <v>1578</v>
      </c>
      <c r="E1813" t="s">
        <v>27</v>
      </c>
      <c r="F1813" t="s">
        <v>37</v>
      </c>
      <c r="G1813" t="s">
        <v>29</v>
      </c>
      <c r="H1813" t="s">
        <v>30</v>
      </c>
      <c r="I1813">
        <v>60</v>
      </c>
      <c r="J1813">
        <v>20</v>
      </c>
      <c r="K1813">
        <v>25</v>
      </c>
      <c r="L1813">
        <v>100</v>
      </c>
      <c r="M1813">
        <v>3.2</v>
      </c>
      <c r="N1813">
        <v>167</v>
      </c>
      <c r="O1813">
        <v>3.1</v>
      </c>
      <c r="T1813">
        <v>4</v>
      </c>
      <c r="V1813">
        <v>95.4</v>
      </c>
      <c r="W1813">
        <v>4556</v>
      </c>
      <c r="X1813">
        <v>30</v>
      </c>
      <c r="Y1813" t="s">
        <v>907</v>
      </c>
    </row>
    <row r="1814" spans="1:25">
      <c r="A1814" t="s">
        <v>2839</v>
      </c>
      <c r="B1814" s="2" t="str">
        <f>Hyperlink("https://www.diodes.com/datasheet/download/DMTH6004SPSWQ.pdf")</f>
        <v>https://www.diodes.com/datasheet/download/DMTH6004SPSWQ.pdf</v>
      </c>
      <c r="C1814" t="str">
        <f>Hyperlink("https://www.diodes.com/part/view/DMTH6004SPSWQ","DMTH6004SPSWQ")</f>
        <v>DMTH6004SPSWQ</v>
      </c>
      <c r="D1814" t="s">
        <v>1586</v>
      </c>
      <c r="E1814" t="s">
        <v>27</v>
      </c>
      <c r="F1814" t="s">
        <v>37</v>
      </c>
      <c r="G1814" t="s">
        <v>29</v>
      </c>
      <c r="H1814" t="s">
        <v>30</v>
      </c>
      <c r="I1814">
        <v>60</v>
      </c>
      <c r="J1814">
        <v>20</v>
      </c>
      <c r="L1814">
        <v>100</v>
      </c>
      <c r="M1814">
        <v>3.2</v>
      </c>
      <c r="N1814">
        <v>167</v>
      </c>
      <c r="O1814">
        <v>3.1</v>
      </c>
      <c r="S1814">
        <v>2</v>
      </c>
      <c r="T1814">
        <v>4</v>
      </c>
      <c r="V1814">
        <v>95.4</v>
      </c>
      <c r="W1814">
        <v>4556</v>
      </c>
      <c r="X1814">
        <v>30</v>
      </c>
      <c r="Y1814" t="s">
        <v>1546</v>
      </c>
    </row>
    <row r="1815" spans="1:25">
      <c r="A1815" t="s">
        <v>2840</v>
      </c>
      <c r="B1815" s="2" t="str">
        <f>Hyperlink("https://www.diodes.com/datasheet/download/DMTH6005LCT.pdf")</f>
        <v>https://www.diodes.com/datasheet/download/DMTH6005LCT.pdf</v>
      </c>
      <c r="C1815" t="str">
        <f>Hyperlink("https://www.diodes.com/part/view/DMTH6005LCT","DMTH6005LCT")</f>
        <v>DMTH6005LCT</v>
      </c>
      <c r="D1815" t="s">
        <v>1580</v>
      </c>
      <c r="E1815" t="s">
        <v>27</v>
      </c>
      <c r="F1815" t="s">
        <v>28</v>
      </c>
      <c r="G1815" t="s">
        <v>29</v>
      </c>
      <c r="H1815" t="s">
        <v>30</v>
      </c>
      <c r="I1815">
        <v>60</v>
      </c>
      <c r="J1815">
        <v>20</v>
      </c>
      <c r="L1815">
        <v>100</v>
      </c>
      <c r="M1815">
        <v>2.8</v>
      </c>
      <c r="N1815">
        <v>125</v>
      </c>
      <c r="O1815">
        <v>6</v>
      </c>
      <c r="P1815">
        <v>10</v>
      </c>
      <c r="T1815">
        <v>3</v>
      </c>
      <c r="U1815">
        <v>23.1</v>
      </c>
      <c r="V1815">
        <v>47.1</v>
      </c>
      <c r="W1815">
        <v>2962</v>
      </c>
      <c r="X1815">
        <v>30</v>
      </c>
      <c r="Y1815" t="s">
        <v>2471</v>
      </c>
    </row>
    <row r="1816" spans="1:25">
      <c r="A1816" t="s">
        <v>2841</v>
      </c>
      <c r="B1816" s="2" t="str">
        <f>Hyperlink("https://www.diodes.com/datasheet/download/DMTH6005LFG.pdf")</f>
        <v>https://www.diodes.com/datasheet/download/DMTH6005LFG.pdf</v>
      </c>
      <c r="C1816" t="str">
        <f>Hyperlink("https://www.diodes.com/part/view/DMTH6005LFG","DMTH6005LFG")</f>
        <v>DMTH6005LFG</v>
      </c>
      <c r="D1816" t="s">
        <v>1578</v>
      </c>
      <c r="E1816" t="s">
        <v>27</v>
      </c>
      <c r="F1816" t="s">
        <v>28</v>
      </c>
      <c r="G1816" t="s">
        <v>29</v>
      </c>
      <c r="H1816" t="s">
        <v>30</v>
      </c>
      <c r="I1816">
        <v>60</v>
      </c>
      <c r="J1816">
        <v>20</v>
      </c>
      <c r="K1816">
        <v>19.7</v>
      </c>
      <c r="L1816">
        <v>100</v>
      </c>
      <c r="M1816">
        <v>2.38</v>
      </c>
      <c r="N1816">
        <v>75</v>
      </c>
      <c r="O1816">
        <v>4.1</v>
      </c>
      <c r="P1816">
        <v>7</v>
      </c>
      <c r="T1816">
        <v>2.5</v>
      </c>
      <c r="U1816">
        <v>23.6</v>
      </c>
      <c r="V1816">
        <v>48.7</v>
      </c>
      <c r="W1816">
        <v>3150</v>
      </c>
      <c r="X1816">
        <v>30</v>
      </c>
      <c r="Y1816" t="s">
        <v>718</v>
      </c>
    </row>
    <row r="1817" spans="1:25">
      <c r="A1817" t="s">
        <v>2842</v>
      </c>
      <c r="B1817" s="2" t="str">
        <f>Hyperlink("https://www.diodes.com/datasheet/download/DMTH6005LFGQ.pdf")</f>
        <v>https://www.diodes.com/datasheet/download/DMTH6005LFGQ.pdf</v>
      </c>
      <c r="C1817" t="str">
        <f>Hyperlink("https://www.diodes.com/part/view/DMTH6005LFGQ","DMTH6005LFGQ")</f>
        <v>DMTH6005LFGQ</v>
      </c>
      <c r="D1817" t="s">
        <v>1586</v>
      </c>
      <c r="E1817" t="s">
        <v>27</v>
      </c>
      <c r="F1817" t="s">
        <v>37</v>
      </c>
      <c r="G1817" t="s">
        <v>29</v>
      </c>
      <c r="H1817" t="s">
        <v>30</v>
      </c>
      <c r="I1817">
        <v>60</v>
      </c>
      <c r="J1817">
        <v>20</v>
      </c>
      <c r="K1817">
        <v>17</v>
      </c>
      <c r="L1817">
        <v>98</v>
      </c>
      <c r="M1817">
        <v>2.38</v>
      </c>
      <c r="N1817">
        <v>75</v>
      </c>
      <c r="O1817">
        <v>4.1</v>
      </c>
      <c r="P1817">
        <v>6.3</v>
      </c>
      <c r="S1817">
        <v>1</v>
      </c>
      <c r="T1817">
        <v>2.5</v>
      </c>
      <c r="U1817">
        <v>21.3</v>
      </c>
      <c r="V1817">
        <v>47.5</v>
      </c>
      <c r="W1817">
        <v>3223</v>
      </c>
      <c r="X1817">
        <v>30</v>
      </c>
      <c r="Y1817" t="s">
        <v>718</v>
      </c>
    </row>
    <row r="1818" spans="1:25">
      <c r="A1818" t="s">
        <v>2843</v>
      </c>
      <c r="B1818" s="2" t="str">
        <f>Hyperlink("https://www.diodes.com/datasheet/download/DMTH6005LK3.pdf")</f>
        <v>https://www.diodes.com/datasheet/download/DMTH6005LK3.pdf</v>
      </c>
      <c r="C1818" t="str">
        <f>Hyperlink("https://www.diodes.com/part/view/DMTH6005LK3","DMTH6005LK3")</f>
        <v>DMTH6005LK3</v>
      </c>
      <c r="D1818" t="s">
        <v>1580</v>
      </c>
      <c r="E1818" t="s">
        <v>27</v>
      </c>
      <c r="F1818" t="s">
        <v>28</v>
      </c>
      <c r="G1818" t="s">
        <v>29</v>
      </c>
      <c r="H1818" t="s">
        <v>30</v>
      </c>
      <c r="I1818">
        <v>60</v>
      </c>
      <c r="J1818">
        <v>20</v>
      </c>
      <c r="L1818">
        <v>90</v>
      </c>
      <c r="M1818">
        <v>3.9</v>
      </c>
      <c r="N1818">
        <v>100</v>
      </c>
      <c r="O1818">
        <v>5.6</v>
      </c>
      <c r="P1818">
        <v>10</v>
      </c>
      <c r="T1818">
        <v>3</v>
      </c>
      <c r="U1818">
        <v>23.1</v>
      </c>
      <c r="V1818">
        <v>47.1</v>
      </c>
      <c r="W1818">
        <v>2962</v>
      </c>
      <c r="X1818">
        <v>30</v>
      </c>
      <c r="Y1818" t="s">
        <v>681</v>
      </c>
    </row>
    <row r="1819" spans="1:25">
      <c r="A1819" t="s">
        <v>2844</v>
      </c>
      <c r="B1819" s="2" t="str">
        <f>Hyperlink("https://www.diodes.com/datasheet/download/DMTH6005LK3Q.pdf")</f>
        <v>https://www.diodes.com/datasheet/download/DMTH6005LK3Q.pdf</v>
      </c>
      <c r="C1819" t="str">
        <f>Hyperlink("https://www.diodes.com/part/view/DMTH6005LK3Q","DMTH6005LK3Q")</f>
        <v>DMTH6005LK3Q</v>
      </c>
      <c r="D1819" t="s">
        <v>1578</v>
      </c>
      <c r="E1819" t="s">
        <v>27</v>
      </c>
      <c r="F1819" t="s">
        <v>37</v>
      </c>
      <c r="G1819" t="s">
        <v>29</v>
      </c>
      <c r="H1819" t="s">
        <v>30</v>
      </c>
      <c r="I1819">
        <v>60</v>
      </c>
      <c r="J1819">
        <v>20</v>
      </c>
      <c r="L1819">
        <v>90</v>
      </c>
      <c r="M1819">
        <v>3.9</v>
      </c>
      <c r="N1819">
        <v>100</v>
      </c>
      <c r="O1819">
        <v>5.6</v>
      </c>
      <c r="P1819">
        <v>10</v>
      </c>
      <c r="T1819">
        <v>3</v>
      </c>
      <c r="U1819">
        <v>23.1</v>
      </c>
      <c r="V1819">
        <v>47.1</v>
      </c>
      <c r="W1819">
        <v>2962</v>
      </c>
      <c r="X1819">
        <v>30</v>
      </c>
      <c r="Y1819" t="s">
        <v>681</v>
      </c>
    </row>
    <row r="1820" spans="1:25">
      <c r="A1820" t="s">
        <v>2845</v>
      </c>
      <c r="B1820" s="2" t="str">
        <f>Hyperlink("https://www.diodes.com/datasheet/download/DMTH6005LPS.pdf")</f>
        <v>https://www.diodes.com/datasheet/download/DMTH6005LPS.pdf</v>
      </c>
      <c r="C1820" t="str">
        <f>Hyperlink("https://www.diodes.com/part/view/DMTH6005LPS","DMTH6005LPS")</f>
        <v>DMTH6005LPS</v>
      </c>
      <c r="D1820" t="s">
        <v>1580</v>
      </c>
      <c r="E1820" t="s">
        <v>27</v>
      </c>
      <c r="F1820" t="s">
        <v>28</v>
      </c>
      <c r="G1820" t="s">
        <v>29</v>
      </c>
      <c r="H1820" t="s">
        <v>30</v>
      </c>
      <c r="I1820">
        <v>60</v>
      </c>
      <c r="J1820">
        <v>20</v>
      </c>
      <c r="K1820">
        <v>20.6</v>
      </c>
      <c r="L1820">
        <v>100</v>
      </c>
      <c r="M1820">
        <v>3.2</v>
      </c>
      <c r="N1820">
        <v>150</v>
      </c>
      <c r="O1820">
        <v>5.5</v>
      </c>
      <c r="P1820">
        <v>10</v>
      </c>
      <c r="T1820">
        <v>3</v>
      </c>
      <c r="U1820">
        <v>23.1</v>
      </c>
      <c r="V1820">
        <v>47.1</v>
      </c>
      <c r="W1820">
        <v>2962</v>
      </c>
      <c r="X1820">
        <v>30</v>
      </c>
      <c r="Y1820" t="s">
        <v>2029</v>
      </c>
    </row>
    <row r="1821" spans="1:25">
      <c r="A1821" t="s">
        <v>2846</v>
      </c>
      <c r="B1821" s="2" t="str">
        <f>Hyperlink("https://www.diodes.com/datasheet/download/DMTH6005LPSQ.pdf")</f>
        <v>https://www.diodes.com/datasheet/download/DMTH6005LPSQ.pdf</v>
      </c>
      <c r="C1821" t="str">
        <f>Hyperlink("https://www.diodes.com/part/view/DMTH6005LPSQ","DMTH6005LPSQ")</f>
        <v>DMTH6005LPSQ</v>
      </c>
      <c r="D1821" t="s">
        <v>1580</v>
      </c>
      <c r="E1821" t="s">
        <v>27</v>
      </c>
      <c r="F1821" t="s">
        <v>37</v>
      </c>
      <c r="G1821" t="s">
        <v>29</v>
      </c>
      <c r="H1821" t="s">
        <v>30</v>
      </c>
      <c r="I1821">
        <v>60</v>
      </c>
      <c r="J1821">
        <v>20</v>
      </c>
      <c r="K1821">
        <v>20.6</v>
      </c>
      <c r="L1821">
        <v>100</v>
      </c>
      <c r="M1821">
        <v>3.2</v>
      </c>
      <c r="N1821">
        <v>150</v>
      </c>
      <c r="O1821">
        <v>5.5</v>
      </c>
      <c r="P1821">
        <v>10</v>
      </c>
      <c r="T1821">
        <v>3</v>
      </c>
      <c r="U1821">
        <v>23.1</v>
      </c>
      <c r="V1821">
        <v>47.1</v>
      </c>
      <c r="W1821">
        <v>2962</v>
      </c>
      <c r="X1821">
        <v>30</v>
      </c>
      <c r="Y1821" t="s">
        <v>907</v>
      </c>
    </row>
    <row r="1822" spans="1:25">
      <c r="A1822" t="s">
        <v>2847</v>
      </c>
      <c r="B1822" s="2" t="str">
        <f>Hyperlink("https://www.diodes.com/datasheet/download/DMTH6005LPSWQ.pdf")</f>
        <v>https://www.diodes.com/datasheet/download/DMTH6005LPSWQ.pdf</v>
      </c>
      <c r="C1822" t="str">
        <f>Hyperlink("https://www.diodes.com/part/view/DMTH6005LPSWQ","DMTH6005LPSWQ")</f>
        <v>DMTH6005LPSWQ</v>
      </c>
      <c r="D1822" t="s">
        <v>1586</v>
      </c>
      <c r="E1822" t="s">
        <v>27</v>
      </c>
      <c r="F1822" t="s">
        <v>37</v>
      </c>
      <c r="G1822" t="s">
        <v>29</v>
      </c>
      <c r="H1822" t="s">
        <v>30</v>
      </c>
      <c r="I1822">
        <v>60</v>
      </c>
      <c r="J1822">
        <v>20</v>
      </c>
      <c r="L1822">
        <v>100</v>
      </c>
      <c r="M1822">
        <v>3.2</v>
      </c>
      <c r="N1822">
        <v>150</v>
      </c>
      <c r="O1822">
        <v>5.5</v>
      </c>
      <c r="S1822">
        <v>1</v>
      </c>
      <c r="T1822">
        <v>3</v>
      </c>
      <c r="V1822">
        <v>47.1</v>
      </c>
      <c r="W1822">
        <v>2962</v>
      </c>
      <c r="X1822">
        <v>30</v>
      </c>
      <c r="Y1822" t="s">
        <v>1546</v>
      </c>
    </row>
    <row r="1823" spans="1:25">
      <c r="A1823" t="s">
        <v>2848</v>
      </c>
      <c r="B1823" s="2" t="str">
        <f>Hyperlink("https://www.diodes.com/datasheet/download/DMTH6006LPSW.pdf")</f>
        <v>https://www.diodes.com/datasheet/download/DMTH6006LPSW.pdf</v>
      </c>
      <c r="C1823" t="str">
        <f>Hyperlink("https://www.diodes.com/part/view/DMTH6006LPSW","DMTH6006LPSW")</f>
        <v>DMTH6006LPSW</v>
      </c>
      <c r="D1823" t="s">
        <v>1580</v>
      </c>
      <c r="E1823" t="s">
        <v>27</v>
      </c>
      <c r="F1823" t="s">
        <v>28</v>
      </c>
      <c r="G1823" t="s">
        <v>29</v>
      </c>
      <c r="H1823" t="s">
        <v>30</v>
      </c>
      <c r="I1823">
        <v>60</v>
      </c>
      <c r="J1823">
        <v>20</v>
      </c>
      <c r="K1823">
        <v>17.2</v>
      </c>
      <c r="L1823">
        <v>100</v>
      </c>
      <c r="M1823">
        <v>2.88</v>
      </c>
      <c r="N1823">
        <v>100</v>
      </c>
      <c r="O1823">
        <v>6.5</v>
      </c>
      <c r="P1823">
        <v>10</v>
      </c>
      <c r="T1823">
        <v>2.5</v>
      </c>
      <c r="U1823">
        <v>18.1</v>
      </c>
      <c r="V1823">
        <v>34.9</v>
      </c>
      <c r="W1823">
        <v>2162</v>
      </c>
      <c r="X1823">
        <v>30</v>
      </c>
      <c r="Y1823" t="s">
        <v>907</v>
      </c>
    </row>
    <row r="1824" spans="1:25">
      <c r="A1824" t="s">
        <v>2849</v>
      </c>
      <c r="B1824" s="2" t="str">
        <f>Hyperlink("https://www.diodes.com/datasheet/download/DMTH6006LPSWQ.pdf")</f>
        <v>https://www.diodes.com/datasheet/download/DMTH6006LPSWQ.pdf</v>
      </c>
      <c r="C1824" t="str">
        <f>Hyperlink("https://www.diodes.com/part/view/DMTH6006LPSWQ","DMTH6006LPSWQ")</f>
        <v>DMTH6006LPSWQ</v>
      </c>
      <c r="D1824" t="s">
        <v>1580</v>
      </c>
      <c r="E1824" t="s">
        <v>27</v>
      </c>
      <c r="F1824" t="s">
        <v>37</v>
      </c>
      <c r="G1824" t="s">
        <v>29</v>
      </c>
      <c r="H1824" t="s">
        <v>30</v>
      </c>
      <c r="I1824">
        <v>60</v>
      </c>
      <c r="J1824">
        <v>20</v>
      </c>
      <c r="K1824">
        <v>17.2</v>
      </c>
      <c r="L1824">
        <v>100</v>
      </c>
      <c r="M1824">
        <v>2.88</v>
      </c>
      <c r="N1824">
        <v>100</v>
      </c>
      <c r="O1824">
        <v>6.5</v>
      </c>
      <c r="P1824">
        <v>10</v>
      </c>
      <c r="T1824">
        <v>2.5</v>
      </c>
      <c r="U1824">
        <v>18.1</v>
      </c>
      <c r="V1824">
        <v>34.9</v>
      </c>
      <c r="W1824">
        <v>2162</v>
      </c>
      <c r="X1824">
        <v>30</v>
      </c>
      <c r="Y1824" t="s">
        <v>907</v>
      </c>
    </row>
    <row r="1825" spans="1:25">
      <c r="A1825" t="s">
        <v>2850</v>
      </c>
      <c r="B1825" s="2" t="str">
        <f>Hyperlink("https://www.diodes.com/datasheet/download/DMTH6006SPS.pdf")</f>
        <v>https://www.diodes.com/datasheet/download/DMTH6006SPS.pdf</v>
      </c>
      <c r="C1825" t="str">
        <f>Hyperlink("https://www.diodes.com/part/view/DMTH6006SPS","DMTH6006SPS")</f>
        <v>DMTH6006SPS</v>
      </c>
      <c r="D1825" t="s">
        <v>1384</v>
      </c>
      <c r="E1825" t="s">
        <v>30</v>
      </c>
      <c r="F1825" t="s">
        <v>28</v>
      </c>
      <c r="G1825" t="s">
        <v>29</v>
      </c>
      <c r="H1825" t="s">
        <v>30</v>
      </c>
      <c r="I1825">
        <v>60</v>
      </c>
      <c r="J1825">
        <v>20</v>
      </c>
      <c r="K1825">
        <v>17.8</v>
      </c>
      <c r="L1825">
        <v>100</v>
      </c>
      <c r="M1825">
        <v>2.94</v>
      </c>
      <c r="N1825">
        <v>107</v>
      </c>
      <c r="O1825">
        <v>6.2</v>
      </c>
      <c r="T1825">
        <v>4</v>
      </c>
      <c r="V1825">
        <v>27.9</v>
      </c>
      <c r="W1825">
        <v>1721</v>
      </c>
      <c r="X1825">
        <v>30</v>
      </c>
      <c r="Y1825" t="s">
        <v>907</v>
      </c>
    </row>
    <row r="1826" spans="1:25">
      <c r="A1826" t="s">
        <v>2851</v>
      </c>
      <c r="B1826" s="2" t="str">
        <f>Hyperlink("https://www.diodes.com/datasheet/download/DMTH6009LK3.pdf")</f>
        <v>https://www.diodes.com/datasheet/download/DMTH6009LK3.pdf</v>
      </c>
      <c r="C1826" t="str">
        <f>Hyperlink("https://www.diodes.com/part/view/DMTH6009LK3","DMTH6009LK3")</f>
        <v>DMTH6009LK3</v>
      </c>
      <c r="D1826" t="s">
        <v>1580</v>
      </c>
      <c r="E1826" t="s">
        <v>27</v>
      </c>
      <c r="F1826" t="s">
        <v>28</v>
      </c>
      <c r="G1826" t="s">
        <v>29</v>
      </c>
      <c r="H1826" t="s">
        <v>30</v>
      </c>
      <c r="I1826">
        <v>60</v>
      </c>
      <c r="J1826">
        <v>16</v>
      </c>
      <c r="K1826">
        <v>14.2</v>
      </c>
      <c r="L1826">
        <v>59</v>
      </c>
      <c r="M1826">
        <v>3.2</v>
      </c>
      <c r="N1826">
        <v>60</v>
      </c>
      <c r="O1826">
        <v>10</v>
      </c>
      <c r="P1826">
        <v>12.8</v>
      </c>
      <c r="T1826">
        <v>2</v>
      </c>
      <c r="U1826">
        <v>15.6</v>
      </c>
      <c r="V1826">
        <v>33.5</v>
      </c>
      <c r="W1826">
        <v>1925</v>
      </c>
      <c r="X1826">
        <v>30</v>
      </c>
      <c r="Y1826" t="s">
        <v>681</v>
      </c>
    </row>
    <row r="1827" spans="1:25">
      <c r="A1827" t="s">
        <v>2852</v>
      </c>
      <c r="B1827" s="2" t="str">
        <f>Hyperlink("https://www.diodes.com/datasheet/download/DMTH6009LK3Q.pdf")</f>
        <v>https://www.diodes.com/datasheet/download/DMTH6009LK3Q.pdf</v>
      </c>
      <c r="C1827" t="str">
        <f>Hyperlink("https://www.diodes.com/part/view/DMTH6009LK3Q","DMTH6009LK3Q")</f>
        <v>DMTH6009LK3Q</v>
      </c>
      <c r="D1827" t="s">
        <v>1580</v>
      </c>
      <c r="E1827" t="s">
        <v>27</v>
      </c>
      <c r="F1827" t="s">
        <v>37</v>
      </c>
      <c r="G1827" t="s">
        <v>29</v>
      </c>
      <c r="H1827" t="s">
        <v>30</v>
      </c>
      <c r="I1827">
        <v>60</v>
      </c>
      <c r="J1827">
        <v>20</v>
      </c>
      <c r="K1827">
        <v>14.2</v>
      </c>
      <c r="M1827">
        <v>3.2</v>
      </c>
      <c r="O1827">
        <v>10</v>
      </c>
      <c r="P1827">
        <v>12.8</v>
      </c>
      <c r="T1827">
        <v>2</v>
      </c>
      <c r="U1827">
        <v>15.6</v>
      </c>
      <c r="V1827">
        <v>33.5</v>
      </c>
      <c r="W1827">
        <v>1925</v>
      </c>
      <c r="X1827">
        <v>30</v>
      </c>
      <c r="Y1827" t="s">
        <v>681</v>
      </c>
    </row>
    <row r="1828" spans="1:25">
      <c r="A1828" t="s">
        <v>2853</v>
      </c>
      <c r="B1828" s="2" t="str">
        <f>Hyperlink("https://www.diodes.com/datasheet/download/DMTH6009LPS.pdf")</f>
        <v>https://www.diodes.com/datasheet/download/DMTH6009LPS.pdf</v>
      </c>
      <c r="C1828" t="str">
        <f>Hyperlink("https://www.diodes.com/part/view/DMTH6009LPS","DMTH6009LPS")</f>
        <v>DMTH6009LPS</v>
      </c>
      <c r="D1828" t="s">
        <v>1580</v>
      </c>
      <c r="E1828" t="s">
        <v>27</v>
      </c>
      <c r="F1828" t="s">
        <v>28</v>
      </c>
      <c r="G1828" t="s">
        <v>29</v>
      </c>
      <c r="H1828" t="s">
        <v>30</v>
      </c>
      <c r="I1828">
        <v>60</v>
      </c>
      <c r="J1828">
        <v>16</v>
      </c>
      <c r="K1828">
        <v>11.76</v>
      </c>
      <c r="L1828">
        <v>89.5</v>
      </c>
      <c r="M1828">
        <v>2.8</v>
      </c>
      <c r="N1828">
        <v>136</v>
      </c>
      <c r="O1828">
        <v>10</v>
      </c>
      <c r="P1828">
        <v>12</v>
      </c>
      <c r="T1828">
        <v>2</v>
      </c>
      <c r="U1828">
        <v>15.6</v>
      </c>
      <c r="V1828">
        <v>33.5</v>
      </c>
      <c r="W1828">
        <v>1925</v>
      </c>
      <c r="X1828">
        <v>30</v>
      </c>
      <c r="Y1828" t="s">
        <v>2029</v>
      </c>
    </row>
    <row r="1829" spans="1:25">
      <c r="A1829" t="s">
        <v>2854</v>
      </c>
      <c r="B1829" s="2" t="str">
        <f>Hyperlink("https://www.diodes.com/datasheet/download/DMTH6009LPSQ.pdf")</f>
        <v>https://www.diodes.com/datasheet/download/DMTH6009LPSQ.pdf</v>
      </c>
      <c r="C1829" t="str">
        <f>Hyperlink("https://www.diodes.com/part/view/DMTH6009LPSQ","DMTH6009LPSQ")</f>
        <v>DMTH6009LPSQ</v>
      </c>
      <c r="D1829" t="s">
        <v>1578</v>
      </c>
      <c r="E1829" t="s">
        <v>27</v>
      </c>
      <c r="F1829" t="s">
        <v>37</v>
      </c>
      <c r="G1829" t="s">
        <v>29</v>
      </c>
      <c r="H1829" t="s">
        <v>30</v>
      </c>
      <c r="I1829">
        <v>60</v>
      </c>
      <c r="J1829">
        <v>16</v>
      </c>
      <c r="K1829">
        <v>11.76</v>
      </c>
      <c r="L1829">
        <v>89.5</v>
      </c>
      <c r="M1829">
        <v>2.8</v>
      </c>
      <c r="N1829">
        <v>136</v>
      </c>
      <c r="O1829">
        <v>10</v>
      </c>
      <c r="P1829">
        <v>12</v>
      </c>
      <c r="T1829">
        <v>2</v>
      </c>
      <c r="U1829">
        <v>15.6</v>
      </c>
      <c r="V1829">
        <v>33.5</v>
      </c>
      <c r="W1829">
        <v>1925</v>
      </c>
      <c r="X1829">
        <v>30</v>
      </c>
      <c r="Y1829" t="s">
        <v>907</v>
      </c>
    </row>
    <row r="1830" spans="1:25">
      <c r="A1830" t="s">
        <v>2855</v>
      </c>
      <c r="B1830" s="2" t="str">
        <f>Hyperlink("https://www.diodes.com/datasheet/download/DMTH6009LPSWQ.pdf")</f>
        <v>https://www.diodes.com/datasheet/download/DMTH6009LPSWQ.pdf</v>
      </c>
      <c r="C1830" t="str">
        <f>Hyperlink("https://www.diodes.com/part/view/DMTH6009LPSWQ","DMTH6009LPSWQ")</f>
        <v>DMTH6009LPSWQ</v>
      </c>
      <c r="D1830" t="s">
        <v>1586</v>
      </c>
      <c r="E1830" t="s">
        <v>27</v>
      </c>
      <c r="F1830" t="s">
        <v>37</v>
      </c>
      <c r="G1830" t="s">
        <v>29</v>
      </c>
      <c r="H1830" t="s">
        <v>30</v>
      </c>
      <c r="I1830">
        <v>60</v>
      </c>
      <c r="J1830">
        <v>16</v>
      </c>
      <c r="L1830">
        <v>89.5</v>
      </c>
      <c r="M1830">
        <v>2.8</v>
      </c>
      <c r="N1830">
        <v>136</v>
      </c>
      <c r="O1830">
        <v>10</v>
      </c>
      <c r="S1830">
        <v>0.7</v>
      </c>
      <c r="T1830">
        <v>2</v>
      </c>
      <c r="V1830">
        <v>33.5</v>
      </c>
      <c r="W1830">
        <v>1925</v>
      </c>
      <c r="X1830">
        <v>30</v>
      </c>
      <c r="Y1830" t="s">
        <v>1546</v>
      </c>
    </row>
    <row r="1831" spans="1:25">
      <c r="A1831" t="s">
        <v>2856</v>
      </c>
      <c r="B1831" s="2" t="str">
        <f>Hyperlink("https://www.diodes.com/datasheet/download/DMTH6009SPS.pdf")</f>
        <v>https://www.diodes.com/datasheet/download/DMTH6009SPS.pdf</v>
      </c>
      <c r="C1831" t="str">
        <f>Hyperlink("https://www.diodes.com/part/view/DMTH6009SPS","DMTH6009SPS")</f>
        <v>DMTH6009SPS</v>
      </c>
      <c r="D1831" t="s">
        <v>1580</v>
      </c>
      <c r="E1831" t="s">
        <v>27</v>
      </c>
      <c r="F1831" t="s">
        <v>28</v>
      </c>
      <c r="G1831" t="s">
        <v>29</v>
      </c>
      <c r="H1831" t="s">
        <v>30</v>
      </c>
      <c r="I1831">
        <v>60</v>
      </c>
      <c r="J1831">
        <v>20</v>
      </c>
      <c r="K1831">
        <v>12.9</v>
      </c>
      <c r="L1831">
        <v>89.5</v>
      </c>
      <c r="M1831">
        <v>2.8</v>
      </c>
      <c r="N1831">
        <v>136</v>
      </c>
      <c r="O1831">
        <v>10</v>
      </c>
      <c r="P1831">
        <v>13.5</v>
      </c>
      <c r="T1831">
        <v>2.8</v>
      </c>
      <c r="U1831">
        <v>13.9</v>
      </c>
      <c r="V1831">
        <v>29.3</v>
      </c>
      <c r="W1831">
        <v>1572</v>
      </c>
      <c r="X1831">
        <v>30</v>
      </c>
      <c r="Y1831" t="s">
        <v>907</v>
      </c>
    </row>
    <row r="1832" spans="1:25">
      <c r="A1832" t="s">
        <v>2857</v>
      </c>
      <c r="B1832" s="2" t="str">
        <f>Hyperlink("https://www.diodes.com/datasheet/download/DMTH6010LK3.pdf")</f>
        <v>https://www.diodes.com/datasheet/download/DMTH6010LK3.pdf</v>
      </c>
      <c r="C1832" t="str">
        <f>Hyperlink("https://www.diodes.com/part/view/DMTH6010LK3","DMTH6010LK3")</f>
        <v>DMTH6010LK3</v>
      </c>
      <c r="D1832" t="s">
        <v>1580</v>
      </c>
      <c r="E1832" t="s">
        <v>27</v>
      </c>
      <c r="F1832" t="s">
        <v>28</v>
      </c>
      <c r="G1832" t="s">
        <v>29</v>
      </c>
      <c r="H1832" t="s">
        <v>30</v>
      </c>
      <c r="I1832">
        <v>60</v>
      </c>
      <c r="J1832">
        <v>20</v>
      </c>
      <c r="K1832">
        <v>14.8</v>
      </c>
      <c r="L1832">
        <v>70</v>
      </c>
      <c r="M1832">
        <v>3.1</v>
      </c>
      <c r="N1832">
        <v>60</v>
      </c>
      <c r="O1832">
        <v>8</v>
      </c>
      <c r="P1832">
        <v>12</v>
      </c>
      <c r="T1832">
        <v>3</v>
      </c>
      <c r="U1832">
        <v>19.3</v>
      </c>
      <c r="V1832">
        <v>41.3</v>
      </c>
      <c r="W1832">
        <v>2090</v>
      </c>
      <c r="X1832">
        <v>30</v>
      </c>
      <c r="Y1832" t="s">
        <v>681</v>
      </c>
    </row>
    <row r="1833" spans="1:25">
      <c r="A1833" t="s">
        <v>2858</v>
      </c>
      <c r="B1833" s="2" t="str">
        <f>Hyperlink("https://www.diodes.com/datasheet/download/DMTH6010LK3Q.pdf")</f>
        <v>https://www.diodes.com/datasheet/download/DMTH6010LK3Q.pdf</v>
      </c>
      <c r="C1833" t="str">
        <f>Hyperlink("https://www.diodes.com/part/view/DMTH6010LK3Q","DMTH6010LK3Q")</f>
        <v>DMTH6010LK3Q</v>
      </c>
      <c r="D1833" t="s">
        <v>1580</v>
      </c>
      <c r="E1833" t="s">
        <v>27</v>
      </c>
      <c r="F1833" t="s">
        <v>37</v>
      </c>
      <c r="G1833" t="s">
        <v>29</v>
      </c>
      <c r="H1833" t="s">
        <v>30</v>
      </c>
      <c r="I1833">
        <v>60</v>
      </c>
      <c r="J1833">
        <v>20</v>
      </c>
      <c r="K1833">
        <v>14.8</v>
      </c>
      <c r="L1833">
        <v>70</v>
      </c>
      <c r="M1833">
        <v>3.1</v>
      </c>
      <c r="N1833">
        <v>60</v>
      </c>
      <c r="O1833">
        <v>8</v>
      </c>
      <c r="P1833">
        <v>12</v>
      </c>
      <c r="T1833">
        <v>3</v>
      </c>
      <c r="U1833">
        <v>19.3</v>
      </c>
      <c r="V1833">
        <v>41.3</v>
      </c>
      <c r="W1833">
        <v>2090</v>
      </c>
      <c r="X1833">
        <v>30</v>
      </c>
      <c r="Y1833" t="s">
        <v>681</v>
      </c>
    </row>
    <row r="1834" spans="1:25">
      <c r="A1834" t="s">
        <v>2859</v>
      </c>
      <c r="B1834" s="2" t="str">
        <f>Hyperlink("https://www.diodes.com/datasheet/download/DMTH6010LPD.pdf")</f>
        <v>https://www.diodes.com/datasheet/download/DMTH6010LPD.pdf</v>
      </c>
      <c r="C1834" t="str">
        <f>Hyperlink("https://www.diodes.com/part/view/DMTH6010LPD","DMTH6010LPD")</f>
        <v>DMTH6010LPD</v>
      </c>
      <c r="D1834" t="s">
        <v>39</v>
      </c>
      <c r="E1834" t="s">
        <v>27</v>
      </c>
      <c r="F1834" t="s">
        <v>28</v>
      </c>
      <c r="G1834" t="s">
        <v>40</v>
      </c>
      <c r="H1834" t="s">
        <v>30</v>
      </c>
      <c r="I1834">
        <v>60</v>
      </c>
      <c r="J1834">
        <v>20</v>
      </c>
      <c r="K1834">
        <v>13.1</v>
      </c>
      <c r="L1834">
        <v>47.6</v>
      </c>
      <c r="M1834">
        <v>2.8</v>
      </c>
      <c r="N1834">
        <v>37.5</v>
      </c>
      <c r="O1834">
        <v>11</v>
      </c>
      <c r="P1834">
        <v>16</v>
      </c>
      <c r="T1834">
        <v>3</v>
      </c>
      <c r="U1834">
        <v>20.3</v>
      </c>
      <c r="V1834">
        <v>40.2</v>
      </c>
      <c r="W1834">
        <v>2090</v>
      </c>
      <c r="X1834">
        <v>30</v>
      </c>
      <c r="Y1834" t="s">
        <v>2860</v>
      </c>
    </row>
    <row r="1835" spans="1:25">
      <c r="A1835" t="s">
        <v>2861</v>
      </c>
      <c r="B1835" s="2" t="str">
        <f>Hyperlink("https://www.diodes.com/datasheet/download/DMTH6010LPDQ.pdf")</f>
        <v>https://www.diodes.com/datasheet/download/DMTH6010LPDQ.pdf</v>
      </c>
      <c r="C1835" t="str">
        <f>Hyperlink("https://www.diodes.com/part/view/DMTH6010LPDQ","DMTH6010LPDQ")</f>
        <v>DMTH6010LPDQ</v>
      </c>
      <c r="D1835" t="s">
        <v>1603</v>
      </c>
      <c r="E1835" t="s">
        <v>27</v>
      </c>
      <c r="F1835" t="s">
        <v>37</v>
      </c>
      <c r="G1835" t="s">
        <v>40</v>
      </c>
      <c r="H1835" t="s">
        <v>30</v>
      </c>
      <c r="I1835">
        <v>60</v>
      </c>
      <c r="J1835">
        <v>20</v>
      </c>
      <c r="K1835">
        <v>13.1</v>
      </c>
      <c r="L1835">
        <v>47.6</v>
      </c>
      <c r="M1835">
        <v>2.8</v>
      </c>
      <c r="N1835">
        <v>37.5</v>
      </c>
      <c r="O1835">
        <v>11</v>
      </c>
      <c r="P1835">
        <v>16</v>
      </c>
      <c r="T1835">
        <v>3</v>
      </c>
      <c r="U1835">
        <v>20.3</v>
      </c>
      <c r="V1835">
        <v>40.2</v>
      </c>
      <c r="W1835">
        <v>2615</v>
      </c>
      <c r="X1835">
        <v>30</v>
      </c>
      <c r="Y1835" t="s">
        <v>2860</v>
      </c>
    </row>
    <row r="1836" spans="1:25">
      <c r="A1836" t="s">
        <v>2862</v>
      </c>
      <c r="B1836" s="2" t="str">
        <f>Hyperlink("https://www.diodes.com/datasheet/download/DMTH6010LPDW.pdf")</f>
        <v>https://www.diodes.com/datasheet/download/DMTH6010LPDW.pdf</v>
      </c>
      <c r="C1836" t="str">
        <f>Hyperlink("https://www.diodes.com/part/view/DMTH6010LPDW","DMTH6010LPDW")</f>
        <v>DMTH6010LPDW</v>
      </c>
      <c r="D1836" t="s">
        <v>1603</v>
      </c>
      <c r="E1836" t="s">
        <v>30</v>
      </c>
      <c r="F1836" t="s">
        <v>28</v>
      </c>
      <c r="G1836" t="s">
        <v>40</v>
      </c>
      <c r="H1836" t="s">
        <v>30</v>
      </c>
      <c r="I1836">
        <v>60</v>
      </c>
      <c r="J1836">
        <v>20</v>
      </c>
      <c r="K1836">
        <v>13.1</v>
      </c>
      <c r="L1836">
        <v>47.6</v>
      </c>
      <c r="M1836">
        <v>2.8</v>
      </c>
      <c r="N1836">
        <v>37.5</v>
      </c>
      <c r="O1836">
        <v>11</v>
      </c>
      <c r="P1836">
        <v>16</v>
      </c>
      <c r="S1836">
        <v>1</v>
      </c>
      <c r="T1836">
        <v>3</v>
      </c>
      <c r="U1836">
        <v>20.3</v>
      </c>
      <c r="V1836">
        <v>40.2</v>
      </c>
      <c r="W1836">
        <v>2615</v>
      </c>
      <c r="X1836">
        <v>30</v>
      </c>
      <c r="Y1836" t="s">
        <v>168</v>
      </c>
    </row>
    <row r="1837" spans="1:25">
      <c r="A1837" t="s">
        <v>2863</v>
      </c>
      <c r="B1837" s="2" t="str">
        <f>Hyperlink("https://www.diodes.com/datasheet/download/DMTH6010LPDWQ.pdf")</f>
        <v>https://www.diodes.com/datasheet/download/DMTH6010LPDWQ.pdf</v>
      </c>
      <c r="C1837" t="str">
        <f>Hyperlink("https://www.diodes.com/part/view/DMTH6010LPDWQ","DMTH6010LPDWQ")</f>
        <v>DMTH6010LPDWQ</v>
      </c>
      <c r="D1837" t="s">
        <v>1603</v>
      </c>
      <c r="E1837" t="s">
        <v>27</v>
      </c>
      <c r="F1837" t="s">
        <v>37</v>
      </c>
      <c r="G1837" t="s">
        <v>40</v>
      </c>
      <c r="H1837" t="s">
        <v>30</v>
      </c>
      <c r="I1837">
        <v>60</v>
      </c>
      <c r="J1837">
        <v>20</v>
      </c>
      <c r="K1837">
        <v>13.1</v>
      </c>
      <c r="L1837">
        <v>47.6</v>
      </c>
      <c r="M1837">
        <v>2.8</v>
      </c>
      <c r="N1837">
        <v>37.5</v>
      </c>
      <c r="O1837">
        <v>11</v>
      </c>
      <c r="P1837">
        <v>16</v>
      </c>
      <c r="S1837">
        <v>1</v>
      </c>
      <c r="T1837">
        <v>3</v>
      </c>
      <c r="U1837">
        <v>20.3</v>
      </c>
      <c r="V1837">
        <v>40.2</v>
      </c>
      <c r="W1837">
        <v>2615</v>
      </c>
      <c r="X1837">
        <v>30</v>
      </c>
      <c r="Y1837" t="s">
        <v>168</v>
      </c>
    </row>
    <row r="1838" spans="1:25">
      <c r="A1838" t="s">
        <v>2864</v>
      </c>
      <c r="B1838" s="2" t="str">
        <f>Hyperlink("https://www.diodes.com/datasheet/download/DMTH6010LPS.pdf")</f>
        <v>https://www.diodes.com/datasheet/download/DMTH6010LPS.pdf</v>
      </c>
      <c r="C1838" t="str">
        <f>Hyperlink("https://www.diodes.com/part/view/DMTH6010LPS","DMTH6010LPS")</f>
        <v>DMTH6010LPS</v>
      </c>
      <c r="D1838" t="s">
        <v>1580</v>
      </c>
      <c r="E1838" t="s">
        <v>27</v>
      </c>
      <c r="F1838" t="s">
        <v>28</v>
      </c>
      <c r="G1838" t="s">
        <v>29</v>
      </c>
      <c r="H1838" t="s">
        <v>30</v>
      </c>
      <c r="I1838">
        <v>60</v>
      </c>
      <c r="J1838">
        <v>20</v>
      </c>
      <c r="K1838">
        <v>13.5</v>
      </c>
      <c r="L1838">
        <v>100</v>
      </c>
      <c r="M1838">
        <v>2.6</v>
      </c>
      <c r="N1838">
        <v>136</v>
      </c>
      <c r="O1838">
        <v>8</v>
      </c>
      <c r="P1838">
        <v>12</v>
      </c>
      <c r="T1838">
        <v>3</v>
      </c>
      <c r="U1838">
        <v>19.3</v>
      </c>
      <c r="V1838">
        <v>41.3</v>
      </c>
      <c r="W1838">
        <v>2090</v>
      </c>
      <c r="X1838">
        <v>30</v>
      </c>
      <c r="Y1838" t="s">
        <v>907</v>
      </c>
    </row>
    <row r="1839" spans="1:25">
      <c r="A1839" t="s">
        <v>2865</v>
      </c>
      <c r="B1839" s="2" t="str">
        <f>Hyperlink("https://www.diodes.com/datasheet/download/DMTH6010LPSQ.pdf")</f>
        <v>https://www.diodes.com/datasheet/download/DMTH6010LPSQ.pdf</v>
      </c>
      <c r="C1839" t="str">
        <f>Hyperlink("https://www.diodes.com/part/view/DMTH6010LPSQ","DMTH6010LPSQ")</f>
        <v>DMTH6010LPSQ</v>
      </c>
      <c r="D1839" t="s">
        <v>1580</v>
      </c>
      <c r="E1839" t="s">
        <v>27</v>
      </c>
      <c r="F1839" t="s">
        <v>37</v>
      </c>
      <c r="G1839" t="s">
        <v>29</v>
      </c>
      <c r="H1839" t="s">
        <v>30</v>
      </c>
      <c r="I1839">
        <v>60</v>
      </c>
      <c r="J1839">
        <v>20</v>
      </c>
      <c r="K1839">
        <v>13.5</v>
      </c>
      <c r="L1839">
        <v>100</v>
      </c>
      <c r="M1839">
        <v>2.6</v>
      </c>
      <c r="N1839">
        <v>136</v>
      </c>
      <c r="O1839">
        <v>8</v>
      </c>
      <c r="P1839">
        <v>12</v>
      </c>
      <c r="T1839">
        <v>3</v>
      </c>
      <c r="U1839">
        <v>19.3</v>
      </c>
      <c r="V1839">
        <v>41.3</v>
      </c>
      <c r="W1839">
        <v>2090</v>
      </c>
      <c r="X1839">
        <v>30</v>
      </c>
      <c r="Y1839" t="s">
        <v>907</v>
      </c>
    </row>
    <row r="1840" spans="1:25">
      <c r="A1840" t="s">
        <v>2866</v>
      </c>
      <c r="B1840" s="2" t="str">
        <f>Hyperlink("https://www.diodes.com/datasheet/download/DMTH6010LPSW.pdf")</f>
        <v>https://www.diodes.com/datasheet/download/DMTH6010LPSW.pdf</v>
      </c>
      <c r="C1840" t="str">
        <f>Hyperlink("https://www.diodes.com/part/view/DMTH6010LPSW","DMTH6010LPSW")</f>
        <v>DMTH6010LPSW</v>
      </c>
      <c r="D1840" t="s">
        <v>1580</v>
      </c>
      <c r="E1840" t="s">
        <v>27</v>
      </c>
      <c r="F1840" t="s">
        <v>28</v>
      </c>
      <c r="G1840" t="s">
        <v>29</v>
      </c>
      <c r="H1840" t="s">
        <v>30</v>
      </c>
      <c r="I1840">
        <v>60</v>
      </c>
      <c r="J1840">
        <v>20</v>
      </c>
      <c r="K1840">
        <v>15.5</v>
      </c>
      <c r="L1840">
        <v>80</v>
      </c>
      <c r="M1840">
        <v>2.9</v>
      </c>
      <c r="N1840">
        <v>75</v>
      </c>
      <c r="O1840">
        <v>8</v>
      </c>
      <c r="P1840">
        <v>12</v>
      </c>
      <c r="T1840">
        <v>3</v>
      </c>
      <c r="U1840">
        <v>19.3</v>
      </c>
      <c r="V1840">
        <v>41.3</v>
      </c>
      <c r="W1840">
        <v>2090</v>
      </c>
      <c r="X1840">
        <v>30</v>
      </c>
      <c r="Y1840" t="s">
        <v>907</v>
      </c>
    </row>
    <row r="1841" spans="1:25">
      <c r="A1841" t="s">
        <v>2867</v>
      </c>
      <c r="B1841" s="2" t="str">
        <f>Hyperlink("https://www.diodes.com/datasheet/download/DMTH6010LPSWQ.pdf")</f>
        <v>https://www.diodes.com/datasheet/download/DMTH6010LPSWQ.pdf</v>
      </c>
      <c r="C1841" t="str">
        <f>Hyperlink("https://www.diodes.com/part/view/DMTH6010LPSWQ","DMTH6010LPSWQ")</f>
        <v>DMTH6010LPSWQ</v>
      </c>
      <c r="D1841" t="s">
        <v>1580</v>
      </c>
      <c r="E1841" t="s">
        <v>27</v>
      </c>
      <c r="F1841" t="s">
        <v>37</v>
      </c>
      <c r="G1841" t="s">
        <v>29</v>
      </c>
      <c r="H1841" t="s">
        <v>30</v>
      </c>
      <c r="I1841">
        <v>60</v>
      </c>
      <c r="J1841">
        <v>20</v>
      </c>
      <c r="K1841">
        <v>15.5</v>
      </c>
      <c r="L1841">
        <v>80</v>
      </c>
      <c r="M1841">
        <v>2.9</v>
      </c>
      <c r="N1841">
        <v>75</v>
      </c>
      <c r="O1841">
        <v>8</v>
      </c>
      <c r="P1841">
        <v>12</v>
      </c>
      <c r="T1841">
        <v>3</v>
      </c>
      <c r="U1841">
        <v>19.3</v>
      </c>
      <c r="V1841">
        <v>41.3</v>
      </c>
      <c r="W1841">
        <v>2090</v>
      </c>
      <c r="X1841">
        <v>30</v>
      </c>
      <c r="Y1841" t="s">
        <v>907</v>
      </c>
    </row>
    <row r="1842" spans="1:25">
      <c r="A1842" t="s">
        <v>2868</v>
      </c>
      <c r="B1842" s="2" t="str">
        <f>Hyperlink("https://www.diodes.com/datasheet/download/DMTH6010SCT.pdf")</f>
        <v>https://www.diodes.com/datasheet/download/DMTH6010SCT.pdf</v>
      </c>
      <c r="C1842" t="str">
        <f>Hyperlink("https://www.diodes.com/part/view/DMTH6010SCT","DMTH6010SCT")</f>
        <v>DMTH6010SCT</v>
      </c>
      <c r="D1842" t="s">
        <v>1580</v>
      </c>
      <c r="E1842" t="s">
        <v>30</v>
      </c>
      <c r="F1842" t="s">
        <v>28</v>
      </c>
      <c r="G1842" t="s">
        <v>29</v>
      </c>
      <c r="H1842" t="s">
        <v>30</v>
      </c>
      <c r="I1842">
        <v>60</v>
      </c>
      <c r="J1842">
        <v>20</v>
      </c>
      <c r="L1842">
        <v>100</v>
      </c>
      <c r="M1842">
        <v>2.8</v>
      </c>
      <c r="N1842">
        <v>125</v>
      </c>
      <c r="O1842">
        <v>7.2</v>
      </c>
      <c r="T1842">
        <v>4</v>
      </c>
      <c r="V1842">
        <v>36.3</v>
      </c>
      <c r="W1842">
        <v>1940</v>
      </c>
      <c r="X1842">
        <v>30</v>
      </c>
      <c r="Y1842" t="s">
        <v>2471</v>
      </c>
    </row>
    <row r="1843" spans="1:25">
      <c r="A1843" t="s">
        <v>2869</v>
      </c>
      <c r="B1843" s="2" t="str">
        <f>Hyperlink("https://www.diodes.com/datasheet/download/DMTH6010SK3.pdf")</f>
        <v>https://www.diodes.com/datasheet/download/DMTH6010SK3.pdf</v>
      </c>
      <c r="C1843" t="str">
        <f>Hyperlink("https://www.diodes.com/part/view/DMTH6010SK3","DMTH6010SK3")</f>
        <v>DMTH6010SK3</v>
      </c>
      <c r="D1843" t="s">
        <v>26</v>
      </c>
      <c r="E1843" t="s">
        <v>27</v>
      </c>
      <c r="F1843" t="s">
        <v>28</v>
      </c>
      <c r="G1843" t="s">
        <v>29</v>
      </c>
      <c r="H1843" t="s">
        <v>30</v>
      </c>
      <c r="I1843">
        <v>60</v>
      </c>
      <c r="J1843">
        <v>20</v>
      </c>
      <c r="K1843">
        <v>16.3</v>
      </c>
      <c r="L1843">
        <v>70</v>
      </c>
      <c r="M1843">
        <v>3.1</v>
      </c>
      <c r="N1843">
        <v>59</v>
      </c>
      <c r="O1843">
        <v>8</v>
      </c>
      <c r="T1843">
        <v>4</v>
      </c>
      <c r="V1843">
        <v>38.1</v>
      </c>
      <c r="W1843">
        <v>2841</v>
      </c>
      <c r="X1843">
        <v>30</v>
      </c>
      <c r="Y1843" t="s">
        <v>681</v>
      </c>
    </row>
    <row r="1844" spans="1:25">
      <c r="A1844" t="s">
        <v>2870</v>
      </c>
      <c r="B1844" s="2" t="str">
        <f>Hyperlink("https://www.diodes.com/datasheet/download/DMTH6010SK3Q.pdf")</f>
        <v>https://www.diodes.com/datasheet/download/DMTH6010SK3Q.pdf</v>
      </c>
      <c r="C1844" t="str">
        <f>Hyperlink("https://www.diodes.com/part/view/DMTH6010SK3Q","DMTH6010SK3Q")</f>
        <v>DMTH6010SK3Q</v>
      </c>
      <c r="D1844" t="s">
        <v>1580</v>
      </c>
      <c r="E1844" t="s">
        <v>27</v>
      </c>
      <c r="F1844" t="s">
        <v>37</v>
      </c>
      <c r="G1844" t="s">
        <v>29</v>
      </c>
      <c r="H1844" t="s">
        <v>30</v>
      </c>
      <c r="I1844">
        <v>60</v>
      </c>
      <c r="J1844">
        <v>20</v>
      </c>
      <c r="K1844">
        <v>16.3</v>
      </c>
      <c r="L1844">
        <v>70</v>
      </c>
      <c r="M1844">
        <v>3.1</v>
      </c>
      <c r="N1844">
        <v>59</v>
      </c>
      <c r="O1844">
        <v>8</v>
      </c>
      <c r="T1844">
        <v>4</v>
      </c>
      <c r="V1844">
        <v>38.1</v>
      </c>
      <c r="W1844">
        <v>2841</v>
      </c>
      <c r="X1844">
        <v>30</v>
      </c>
      <c r="Y1844" t="s">
        <v>681</v>
      </c>
    </row>
    <row r="1845" spans="1:25">
      <c r="A1845" t="s">
        <v>2871</v>
      </c>
      <c r="B1845" s="2" t="str">
        <f>Hyperlink("https://www.diodes.com/datasheet/download/DMTH6010SPS.pdf")</f>
        <v>https://www.diodes.com/datasheet/download/DMTH6010SPS.pdf</v>
      </c>
      <c r="C1845" t="str">
        <f>Hyperlink("https://www.diodes.com/part/view/DMTH6010SPS","DMTH6010SPS")</f>
        <v>DMTH6010SPS</v>
      </c>
      <c r="D1845" t="s">
        <v>1580</v>
      </c>
      <c r="E1845" t="s">
        <v>27</v>
      </c>
      <c r="F1845" t="s">
        <v>28</v>
      </c>
      <c r="G1845" t="s">
        <v>29</v>
      </c>
      <c r="H1845" t="s">
        <v>30</v>
      </c>
      <c r="I1845">
        <v>60</v>
      </c>
      <c r="J1845">
        <v>20</v>
      </c>
      <c r="K1845">
        <v>13.5</v>
      </c>
      <c r="L1845">
        <v>100</v>
      </c>
      <c r="M1845">
        <v>2.6</v>
      </c>
      <c r="N1845">
        <v>167</v>
      </c>
      <c r="O1845">
        <v>8</v>
      </c>
      <c r="T1845">
        <v>4</v>
      </c>
      <c r="V1845">
        <v>38.1</v>
      </c>
      <c r="W1845">
        <v>2841</v>
      </c>
      <c r="X1845">
        <v>30</v>
      </c>
      <c r="Y1845" t="s">
        <v>907</v>
      </c>
    </row>
    <row r="1846" spans="1:25">
      <c r="A1846" t="s">
        <v>2872</v>
      </c>
      <c r="B1846" s="2" t="str">
        <f>Hyperlink("https://www.diodes.com/datasheet/download/DMTH6012LPSW.pdf")</f>
        <v>https://www.diodes.com/datasheet/download/DMTH6012LPSW.pdf</v>
      </c>
      <c r="C1846" t="str">
        <f>Hyperlink("https://www.diodes.com/part/view/DMTH6012LPSW","DMTH6012LPSW")</f>
        <v>DMTH6012LPSW</v>
      </c>
      <c r="D1846" t="s">
        <v>1580</v>
      </c>
      <c r="E1846" t="s">
        <v>27</v>
      </c>
      <c r="F1846" t="s">
        <v>28</v>
      </c>
      <c r="G1846" t="s">
        <v>29</v>
      </c>
      <c r="H1846" t="s">
        <v>30</v>
      </c>
      <c r="I1846">
        <v>60</v>
      </c>
      <c r="J1846">
        <v>20</v>
      </c>
      <c r="K1846">
        <v>11.5</v>
      </c>
      <c r="L1846">
        <v>50.5</v>
      </c>
      <c r="M1846">
        <v>2.8</v>
      </c>
      <c r="N1846">
        <v>53.6</v>
      </c>
      <c r="O1846">
        <v>14</v>
      </c>
      <c r="P1846">
        <v>21</v>
      </c>
      <c r="T1846">
        <v>2.3</v>
      </c>
      <c r="U1846">
        <v>7.3</v>
      </c>
      <c r="V1846">
        <v>13.6</v>
      </c>
      <c r="W1846">
        <v>785</v>
      </c>
      <c r="X1846">
        <v>30</v>
      </c>
      <c r="Y1846" t="s">
        <v>907</v>
      </c>
    </row>
    <row r="1847" spans="1:25">
      <c r="A1847" t="s">
        <v>2873</v>
      </c>
      <c r="B1847" s="2" t="str">
        <f>Hyperlink("https://www.diodes.com/datasheet/download/DMTH6012LPSWQ.pdf")</f>
        <v>https://www.diodes.com/datasheet/download/DMTH6012LPSWQ.pdf</v>
      </c>
      <c r="C1847" t="str">
        <f>Hyperlink("https://www.diodes.com/part/view/DMTH6012LPSWQ","DMTH6012LPSWQ")</f>
        <v>DMTH6012LPSWQ</v>
      </c>
      <c r="D1847" t="s">
        <v>1578</v>
      </c>
      <c r="E1847" t="s">
        <v>27</v>
      </c>
      <c r="F1847" t="s">
        <v>37</v>
      </c>
      <c r="G1847" t="s">
        <v>29</v>
      </c>
      <c r="H1847" t="s">
        <v>30</v>
      </c>
      <c r="I1847">
        <v>60</v>
      </c>
      <c r="J1847">
        <v>20</v>
      </c>
      <c r="K1847">
        <v>11.5</v>
      </c>
      <c r="L1847">
        <v>50.5</v>
      </c>
      <c r="M1847">
        <v>2.8</v>
      </c>
      <c r="N1847">
        <v>53.6</v>
      </c>
      <c r="O1847">
        <v>14</v>
      </c>
      <c r="P1847">
        <v>21</v>
      </c>
      <c r="T1847">
        <v>2.3</v>
      </c>
      <c r="U1847">
        <v>7.3</v>
      </c>
      <c r="V1847">
        <v>13.6</v>
      </c>
      <c r="W1847">
        <v>785</v>
      </c>
      <c r="X1847">
        <v>30</v>
      </c>
      <c r="Y1847" t="s">
        <v>907</v>
      </c>
    </row>
    <row r="1848" spans="1:25">
      <c r="A1848" t="s">
        <v>2874</v>
      </c>
      <c r="B1848" s="2" t="str">
        <f>Hyperlink("https://www.diodes.com/datasheet/download/DMTH6015LDVW.pdf")</f>
        <v>https://www.diodes.com/datasheet/download/DMTH6015LDVW.pdf</v>
      </c>
      <c r="C1848" t="str">
        <f>Hyperlink("https://www.diodes.com/part/view/DMTH6015LDVW","DMTH6015LDVW")</f>
        <v>DMTH6015LDVW</v>
      </c>
      <c r="D1848" t="s">
        <v>1578</v>
      </c>
      <c r="E1848" t="s">
        <v>30</v>
      </c>
      <c r="F1848" t="s">
        <v>28</v>
      </c>
      <c r="G1848" t="s">
        <v>40</v>
      </c>
      <c r="H1848" t="s">
        <v>27</v>
      </c>
      <c r="I1848">
        <v>60</v>
      </c>
      <c r="J1848">
        <v>16</v>
      </c>
      <c r="K1848">
        <v>9.2</v>
      </c>
      <c r="L1848">
        <v>24.5</v>
      </c>
      <c r="M1848">
        <v>3</v>
      </c>
      <c r="N1848">
        <v>24.5</v>
      </c>
      <c r="O1848">
        <v>20.5</v>
      </c>
      <c r="P1848">
        <v>27</v>
      </c>
      <c r="T1848">
        <v>2.5</v>
      </c>
      <c r="U1848">
        <v>7.1</v>
      </c>
      <c r="V1848">
        <v>14.3</v>
      </c>
      <c r="W1848">
        <v>825</v>
      </c>
      <c r="X1848">
        <v>30</v>
      </c>
      <c r="Y1848" t="s">
        <v>718</v>
      </c>
    </row>
    <row r="1849" spans="1:25">
      <c r="A1849" t="s">
        <v>2875</v>
      </c>
      <c r="B1849" s="2" t="str">
        <f>Hyperlink("https://www.diodes.com/datasheet/download/DMTH6015LDVWQ.pdf")</f>
        <v>https://www.diodes.com/datasheet/download/DMTH6015LDVWQ.pdf</v>
      </c>
      <c r="C1849" t="str">
        <f>Hyperlink("https://www.diodes.com/part/view/DMTH6015LDVWQ","DMTH6015LDVWQ")</f>
        <v>DMTH6015LDVWQ</v>
      </c>
      <c r="D1849" t="s">
        <v>1578</v>
      </c>
      <c r="E1849" t="s">
        <v>27</v>
      </c>
      <c r="F1849" t="s">
        <v>37</v>
      </c>
      <c r="G1849" t="s">
        <v>40</v>
      </c>
      <c r="H1849" t="s">
        <v>27</v>
      </c>
      <c r="I1849">
        <v>60</v>
      </c>
      <c r="J1849">
        <v>16</v>
      </c>
      <c r="K1849">
        <v>9.2</v>
      </c>
      <c r="L1849">
        <v>24.5</v>
      </c>
      <c r="M1849">
        <v>3</v>
      </c>
      <c r="N1849">
        <v>24.5</v>
      </c>
      <c r="O1849">
        <v>20.5</v>
      </c>
      <c r="P1849">
        <v>27</v>
      </c>
      <c r="T1849">
        <v>2.5</v>
      </c>
      <c r="U1849">
        <v>7.1</v>
      </c>
      <c r="V1849">
        <v>14.3</v>
      </c>
      <c r="W1849">
        <v>825</v>
      </c>
      <c r="X1849">
        <v>30</v>
      </c>
      <c r="Y1849" t="s">
        <v>718</v>
      </c>
    </row>
    <row r="1850" spans="1:25">
      <c r="A1850" t="s">
        <v>2876</v>
      </c>
      <c r="B1850" s="2" t="str">
        <f>Hyperlink("https://www.diodes.com/datasheet/download/DMTH6015LPDW.pdf")</f>
        <v>https://www.diodes.com/datasheet/download/DMTH6015LPDW.pdf</v>
      </c>
      <c r="C1850" t="str">
        <f>Hyperlink("https://www.diodes.com/part/view/DMTH6015LPDW","DMTH6015LPDW")</f>
        <v>DMTH6015LPDW</v>
      </c>
      <c r="D1850" t="s">
        <v>1578</v>
      </c>
      <c r="E1850" t="s">
        <v>30</v>
      </c>
      <c r="F1850" t="s">
        <v>28</v>
      </c>
      <c r="G1850" t="s">
        <v>40</v>
      </c>
      <c r="H1850" t="s">
        <v>27</v>
      </c>
      <c r="I1850">
        <v>60</v>
      </c>
      <c r="J1850">
        <v>16</v>
      </c>
      <c r="K1850">
        <v>9.4</v>
      </c>
      <c r="L1850">
        <v>36.3</v>
      </c>
      <c r="M1850">
        <v>2.6</v>
      </c>
      <c r="N1850">
        <v>36.3</v>
      </c>
      <c r="O1850">
        <v>20</v>
      </c>
      <c r="P1850">
        <v>27</v>
      </c>
      <c r="T1850">
        <v>2.5</v>
      </c>
      <c r="U1850">
        <v>7.1</v>
      </c>
      <c r="V1850">
        <v>14.3</v>
      </c>
      <c r="W1850">
        <v>825</v>
      </c>
      <c r="X1850">
        <v>30</v>
      </c>
      <c r="Y1850" t="s">
        <v>907</v>
      </c>
    </row>
    <row r="1851" spans="1:25">
      <c r="A1851" t="s">
        <v>2877</v>
      </c>
      <c r="B1851" s="2" t="str">
        <f>Hyperlink("https://www.diodes.com/datasheet/download/DMTH6015LPDWQ.pdf")</f>
        <v>https://www.diodes.com/datasheet/download/DMTH6015LPDWQ.pdf</v>
      </c>
      <c r="C1851" t="str">
        <f>Hyperlink("https://www.diodes.com/part/view/DMTH6015LPDWQ","DMTH6015LPDWQ")</f>
        <v>DMTH6015LPDWQ</v>
      </c>
      <c r="D1851" t="s">
        <v>1578</v>
      </c>
      <c r="E1851" t="s">
        <v>27</v>
      </c>
      <c r="F1851" t="s">
        <v>37</v>
      </c>
      <c r="G1851" t="s">
        <v>40</v>
      </c>
      <c r="H1851" t="s">
        <v>27</v>
      </c>
      <c r="I1851">
        <v>60</v>
      </c>
      <c r="J1851">
        <v>16</v>
      </c>
      <c r="K1851">
        <v>9.4</v>
      </c>
      <c r="L1851">
        <v>36.3</v>
      </c>
      <c r="M1851">
        <v>2.6</v>
      </c>
      <c r="N1851">
        <v>36.3</v>
      </c>
      <c r="O1851">
        <v>20</v>
      </c>
      <c r="P1851">
        <v>27</v>
      </c>
      <c r="T1851">
        <v>2.5</v>
      </c>
      <c r="U1851">
        <v>7.1</v>
      </c>
      <c r="V1851">
        <v>14.3</v>
      </c>
      <c r="W1851">
        <v>825</v>
      </c>
      <c r="X1851">
        <v>30</v>
      </c>
      <c r="Y1851" t="s">
        <v>907</v>
      </c>
    </row>
    <row r="1852" spans="1:25">
      <c r="A1852" t="s">
        <v>2878</v>
      </c>
      <c r="B1852" s="2" t="str">
        <f>Hyperlink("https://www.diodes.com/datasheet/download/DMTH6016LFDFW.pdf")</f>
        <v>https://www.diodes.com/datasheet/download/DMTH6016LFDFW.pdf</v>
      </c>
      <c r="C1852" t="str">
        <f>Hyperlink("https://www.diodes.com/part/view/DMTH6016LFDFW","DMTH6016LFDFW")</f>
        <v>DMTH6016LFDFW</v>
      </c>
      <c r="D1852" t="s">
        <v>26</v>
      </c>
      <c r="E1852" t="s">
        <v>27</v>
      </c>
      <c r="F1852" t="s">
        <v>28</v>
      </c>
      <c r="G1852" t="s">
        <v>29</v>
      </c>
      <c r="H1852" t="s">
        <v>30</v>
      </c>
      <c r="I1852">
        <v>60</v>
      </c>
      <c r="J1852">
        <v>20</v>
      </c>
      <c r="K1852">
        <v>9.4</v>
      </c>
      <c r="M1852">
        <v>2.3</v>
      </c>
      <c r="O1852">
        <v>18</v>
      </c>
      <c r="P1852">
        <v>27.5</v>
      </c>
      <c r="T1852">
        <v>3</v>
      </c>
      <c r="U1852">
        <v>7.5</v>
      </c>
      <c r="V1852">
        <v>15.3</v>
      </c>
      <c r="W1852">
        <v>925</v>
      </c>
      <c r="X1852">
        <v>30</v>
      </c>
      <c r="Y1852" t="s">
        <v>2739</v>
      </c>
    </row>
    <row r="1853" spans="1:25">
      <c r="A1853" t="s">
        <v>2879</v>
      </c>
      <c r="B1853" s="2" t="str">
        <f>Hyperlink("https://www.diodes.com/datasheet/download/DMTH6016LFDFWQ.pdf")</f>
        <v>https://www.diodes.com/datasheet/download/DMTH6016LFDFWQ.pdf</v>
      </c>
      <c r="C1853" t="str">
        <f>Hyperlink("https://www.diodes.com/part/view/DMTH6016LFDFWQ","DMTH6016LFDFWQ")</f>
        <v>DMTH6016LFDFWQ</v>
      </c>
      <c r="D1853" t="s">
        <v>1580</v>
      </c>
      <c r="E1853" t="s">
        <v>27</v>
      </c>
      <c r="F1853" t="s">
        <v>37</v>
      </c>
      <c r="G1853" t="s">
        <v>29</v>
      </c>
      <c r="H1853" t="s">
        <v>30</v>
      </c>
      <c r="I1853">
        <v>60</v>
      </c>
      <c r="J1853">
        <v>20</v>
      </c>
      <c r="K1853">
        <v>9.4</v>
      </c>
      <c r="M1853">
        <v>2.3</v>
      </c>
      <c r="O1853">
        <v>18</v>
      </c>
      <c r="P1853">
        <v>27.5</v>
      </c>
      <c r="T1853">
        <v>3</v>
      </c>
      <c r="U1853">
        <v>7.5</v>
      </c>
      <c r="V1853">
        <v>15.3</v>
      </c>
      <c r="W1853">
        <v>925</v>
      </c>
      <c r="X1853">
        <v>30</v>
      </c>
      <c r="Y1853" t="s">
        <v>2739</v>
      </c>
    </row>
    <row r="1854" spans="1:25">
      <c r="A1854" t="s">
        <v>2880</v>
      </c>
      <c r="B1854" s="2" t="str">
        <f>Hyperlink("https://www.diodes.com/datasheet/download/DMTH6016LFVW.pdf")</f>
        <v>https://www.diodes.com/datasheet/download/DMTH6016LFVW.pdf</v>
      </c>
      <c r="C1854" t="str">
        <f>Hyperlink("https://www.diodes.com/part/view/DMTH6016LFVW","DMTH6016LFVW")</f>
        <v>DMTH6016LFVW</v>
      </c>
      <c r="D1854" t="s">
        <v>1580</v>
      </c>
      <c r="E1854" t="s">
        <v>27</v>
      </c>
      <c r="F1854" t="s">
        <v>28</v>
      </c>
      <c r="G1854" t="s">
        <v>29</v>
      </c>
      <c r="H1854" t="s">
        <v>30</v>
      </c>
      <c r="I1854">
        <v>60</v>
      </c>
      <c r="J1854">
        <v>20</v>
      </c>
      <c r="L1854">
        <v>41</v>
      </c>
      <c r="M1854">
        <v>2.38</v>
      </c>
      <c r="O1854">
        <v>16</v>
      </c>
      <c r="P1854">
        <v>27</v>
      </c>
      <c r="T1854">
        <v>2.5</v>
      </c>
      <c r="U1854">
        <v>7.3</v>
      </c>
      <c r="V1854">
        <v>15.1</v>
      </c>
      <c r="W1854">
        <v>939</v>
      </c>
      <c r="X1854">
        <v>30</v>
      </c>
      <c r="Y1854" t="s">
        <v>1109</v>
      </c>
    </row>
    <row r="1855" spans="1:25">
      <c r="A1855" t="s">
        <v>2881</v>
      </c>
      <c r="B1855" s="2" t="str">
        <f>Hyperlink("https://www.diodes.com/datasheet/download/DMTH6016LFVWQ.pdf")</f>
        <v>https://www.diodes.com/datasheet/download/DMTH6016LFVWQ.pdf</v>
      </c>
      <c r="C1855" t="str">
        <f>Hyperlink("https://www.diodes.com/part/view/DMTH6016LFVWQ","DMTH6016LFVWQ")</f>
        <v>DMTH6016LFVWQ</v>
      </c>
      <c r="D1855" t="s">
        <v>1580</v>
      </c>
      <c r="E1855" t="s">
        <v>27</v>
      </c>
      <c r="F1855" t="s">
        <v>37</v>
      </c>
      <c r="G1855" t="s">
        <v>29</v>
      </c>
      <c r="H1855" t="s">
        <v>30</v>
      </c>
      <c r="I1855">
        <v>60</v>
      </c>
      <c r="J1855">
        <v>20</v>
      </c>
      <c r="L1855">
        <v>41</v>
      </c>
      <c r="M1855">
        <v>2.38</v>
      </c>
      <c r="O1855">
        <v>16</v>
      </c>
      <c r="P1855">
        <v>27</v>
      </c>
      <c r="T1855">
        <v>2.5</v>
      </c>
      <c r="U1855">
        <v>7.3</v>
      </c>
      <c r="V1855">
        <v>15.1</v>
      </c>
      <c r="W1855">
        <v>939</v>
      </c>
      <c r="X1855">
        <v>30</v>
      </c>
      <c r="Y1855" t="s">
        <v>1109</v>
      </c>
    </row>
    <row r="1856" spans="1:25">
      <c r="A1856" t="s">
        <v>2882</v>
      </c>
      <c r="B1856" s="2" t="str">
        <f>Hyperlink("https://www.diodes.com/datasheet/download/DMTH6016LK3.pdf")</f>
        <v>https://www.diodes.com/datasheet/download/DMTH6016LK3.pdf</v>
      </c>
      <c r="C1856" t="str">
        <f>Hyperlink("https://www.diodes.com/part/view/DMTH6016LK3","DMTH6016LK3")</f>
        <v>DMTH6016LK3</v>
      </c>
      <c r="D1856" t="s">
        <v>1580</v>
      </c>
      <c r="E1856" t="s">
        <v>27</v>
      </c>
      <c r="F1856" t="s">
        <v>28</v>
      </c>
      <c r="G1856" t="s">
        <v>29</v>
      </c>
      <c r="H1856" t="s">
        <v>30</v>
      </c>
      <c r="I1856">
        <v>60</v>
      </c>
      <c r="J1856">
        <v>20</v>
      </c>
      <c r="K1856">
        <v>10.8</v>
      </c>
      <c r="L1856">
        <v>46.9</v>
      </c>
      <c r="M1856">
        <v>3.2</v>
      </c>
      <c r="N1856">
        <v>60</v>
      </c>
      <c r="O1856">
        <v>17</v>
      </c>
      <c r="P1856">
        <v>24</v>
      </c>
      <c r="T1856">
        <v>3</v>
      </c>
      <c r="U1856">
        <v>8.4</v>
      </c>
      <c r="V1856">
        <v>17</v>
      </c>
      <c r="W1856">
        <v>864</v>
      </c>
      <c r="X1856">
        <v>30</v>
      </c>
      <c r="Y1856" t="s">
        <v>681</v>
      </c>
    </row>
    <row r="1857" spans="1:25">
      <c r="A1857" t="s">
        <v>2883</v>
      </c>
      <c r="B1857" s="2" t="str">
        <f>Hyperlink("https://www.diodes.com/datasheet/download/DMTH6016LK3Q.pdf")</f>
        <v>https://www.diodes.com/datasheet/download/DMTH6016LK3Q.pdf</v>
      </c>
      <c r="C1857" t="str">
        <f>Hyperlink("https://www.diodes.com/part/view/DMTH6016LK3Q","DMTH6016LK3Q")</f>
        <v>DMTH6016LK3Q</v>
      </c>
      <c r="D1857" t="s">
        <v>1580</v>
      </c>
      <c r="E1857" t="s">
        <v>27</v>
      </c>
      <c r="F1857" t="s">
        <v>37</v>
      </c>
      <c r="G1857" t="s">
        <v>29</v>
      </c>
      <c r="H1857" t="s">
        <v>30</v>
      </c>
      <c r="I1857">
        <v>60</v>
      </c>
      <c r="J1857">
        <v>20</v>
      </c>
      <c r="K1857">
        <v>10.8</v>
      </c>
      <c r="L1857">
        <v>46.9</v>
      </c>
      <c r="M1857">
        <v>3.2</v>
      </c>
      <c r="N1857">
        <v>60</v>
      </c>
      <c r="O1857">
        <v>17</v>
      </c>
      <c r="P1857">
        <v>24</v>
      </c>
      <c r="T1857">
        <v>3</v>
      </c>
      <c r="U1857">
        <v>8.4</v>
      </c>
      <c r="V1857">
        <v>17</v>
      </c>
      <c r="W1857">
        <v>864</v>
      </c>
      <c r="X1857">
        <v>30</v>
      </c>
      <c r="Y1857" t="s">
        <v>681</v>
      </c>
    </row>
    <row r="1858" spans="1:25">
      <c r="A1858" t="s">
        <v>2884</v>
      </c>
      <c r="B1858" s="2" t="str">
        <f>Hyperlink("https://www.diodes.com/datasheet/download/DMTH6016LPD.pdf")</f>
        <v>https://www.diodes.com/datasheet/download/DMTH6016LPD.pdf</v>
      </c>
      <c r="C1858" t="str">
        <f>Hyperlink("https://www.diodes.com/part/view/DMTH6016LPD","DMTH6016LPD")</f>
        <v>DMTH6016LPD</v>
      </c>
      <c r="D1858" t="s">
        <v>39</v>
      </c>
      <c r="E1858" t="s">
        <v>27</v>
      </c>
      <c r="F1858" t="s">
        <v>28</v>
      </c>
      <c r="G1858" t="s">
        <v>40</v>
      </c>
      <c r="H1858" t="s">
        <v>30</v>
      </c>
      <c r="I1858">
        <v>60</v>
      </c>
      <c r="J1858">
        <v>20</v>
      </c>
      <c r="K1858">
        <v>9.2</v>
      </c>
      <c r="L1858">
        <v>33.2</v>
      </c>
      <c r="M1858">
        <v>2.5</v>
      </c>
      <c r="N1858">
        <v>37.5</v>
      </c>
      <c r="O1858">
        <v>19</v>
      </c>
      <c r="P1858">
        <v>28</v>
      </c>
      <c r="T1858">
        <v>2.5</v>
      </c>
      <c r="U1858">
        <v>8.4</v>
      </c>
      <c r="V1858">
        <v>17</v>
      </c>
      <c r="W1858">
        <v>864</v>
      </c>
      <c r="X1858">
        <v>30</v>
      </c>
      <c r="Y1858" t="s">
        <v>144</v>
      </c>
    </row>
    <row r="1859" spans="1:25">
      <c r="A1859" t="s">
        <v>2885</v>
      </c>
      <c r="B1859" s="2" t="str">
        <f>Hyperlink("https://www.diodes.com/datasheet/download/DMTH6016LPDQ.pdf")</f>
        <v>https://www.diodes.com/datasheet/download/DMTH6016LPDQ.pdf</v>
      </c>
      <c r="C1859" t="str">
        <f>Hyperlink("https://www.diodes.com/part/view/DMTH6016LPDQ","DMTH6016LPDQ")</f>
        <v>DMTH6016LPDQ</v>
      </c>
      <c r="D1859" t="s">
        <v>1603</v>
      </c>
      <c r="E1859" t="s">
        <v>27</v>
      </c>
      <c r="F1859" t="s">
        <v>37</v>
      </c>
      <c r="G1859" t="s">
        <v>40</v>
      </c>
      <c r="H1859" t="s">
        <v>30</v>
      </c>
      <c r="I1859">
        <v>60</v>
      </c>
      <c r="J1859">
        <v>20</v>
      </c>
      <c r="K1859">
        <v>9.2</v>
      </c>
      <c r="L1859">
        <v>33.2</v>
      </c>
      <c r="M1859">
        <v>2.5</v>
      </c>
      <c r="N1859">
        <v>37.5</v>
      </c>
      <c r="O1859">
        <v>19</v>
      </c>
      <c r="P1859">
        <v>28</v>
      </c>
      <c r="T1859">
        <v>2.5</v>
      </c>
      <c r="U1859">
        <v>8.4</v>
      </c>
      <c r="V1859">
        <v>17</v>
      </c>
      <c r="W1859">
        <v>864</v>
      </c>
      <c r="X1859">
        <v>30</v>
      </c>
      <c r="Y1859" t="s">
        <v>144</v>
      </c>
    </row>
    <row r="1860" spans="1:25">
      <c r="A1860" t="s">
        <v>2886</v>
      </c>
      <c r="B1860" s="2" t="str">
        <f>Hyperlink("https://www.diodes.com/datasheet/download/DMTH6016LPDWQ.pdf")</f>
        <v>https://www.diodes.com/datasheet/download/DMTH6016LPDWQ.pdf</v>
      </c>
      <c r="C1860" t="str">
        <f>Hyperlink("https://www.diodes.com/part/view/DMTH6016LPDWQ","DMTH6016LPDWQ")</f>
        <v>DMTH6016LPDWQ</v>
      </c>
      <c r="D1860" t="s">
        <v>2887</v>
      </c>
      <c r="E1860" t="s">
        <v>27</v>
      </c>
      <c r="F1860" t="s">
        <v>37</v>
      </c>
      <c r="G1860" t="s">
        <v>40</v>
      </c>
      <c r="H1860" t="s">
        <v>30</v>
      </c>
      <c r="I1860">
        <v>60</v>
      </c>
      <c r="J1860">
        <v>20</v>
      </c>
      <c r="L1860">
        <v>33.2</v>
      </c>
      <c r="M1860">
        <v>2.5</v>
      </c>
      <c r="N1860">
        <v>37.5</v>
      </c>
      <c r="O1860">
        <v>19</v>
      </c>
      <c r="S1860">
        <v>1</v>
      </c>
      <c r="T1860">
        <v>2.5</v>
      </c>
      <c r="V1860">
        <v>17</v>
      </c>
      <c r="W1860">
        <v>864</v>
      </c>
      <c r="X1860">
        <v>30</v>
      </c>
      <c r="Y1860" t="s">
        <v>168</v>
      </c>
    </row>
    <row r="1861" spans="1:25">
      <c r="A1861" t="s">
        <v>2888</v>
      </c>
      <c r="B1861" s="2" t="str">
        <f>Hyperlink("https://www.diodes.com/datasheet/download/DMTH6016LPS.pdf")</f>
        <v>https://www.diodes.com/datasheet/download/DMTH6016LPS.pdf</v>
      </c>
      <c r="C1861" t="str">
        <f>Hyperlink("https://www.diodes.com/part/view/DMTH6016LPS","DMTH6016LPS")</f>
        <v>DMTH6016LPS</v>
      </c>
      <c r="D1861" t="s">
        <v>1384</v>
      </c>
      <c r="E1861" t="s">
        <v>27</v>
      </c>
      <c r="F1861" t="s">
        <v>28</v>
      </c>
      <c r="G1861" t="s">
        <v>29</v>
      </c>
      <c r="H1861" t="s">
        <v>30</v>
      </c>
      <c r="I1861">
        <v>60</v>
      </c>
      <c r="J1861">
        <v>20</v>
      </c>
      <c r="K1861">
        <v>10.6</v>
      </c>
      <c r="L1861">
        <v>37.1</v>
      </c>
      <c r="M1861">
        <v>3</v>
      </c>
      <c r="O1861">
        <v>16</v>
      </c>
      <c r="P1861">
        <v>24</v>
      </c>
      <c r="T1861">
        <v>2.5</v>
      </c>
      <c r="U1861">
        <v>8.4</v>
      </c>
      <c r="V1861">
        <v>17</v>
      </c>
      <c r="W1861">
        <v>864</v>
      </c>
      <c r="X1861">
        <v>30</v>
      </c>
      <c r="Y1861" t="s">
        <v>907</v>
      </c>
    </row>
    <row r="1862" spans="1:25">
      <c r="A1862" t="s">
        <v>2889</v>
      </c>
      <c r="B1862" s="2" t="str">
        <f>Hyperlink("https://www.diodes.com/datasheet/download/DMTH6016LPSQ.pdf")</f>
        <v>https://www.diodes.com/datasheet/download/DMTH6016LPSQ.pdf</v>
      </c>
      <c r="C1862" t="str">
        <f>Hyperlink("https://www.diodes.com/part/view/DMTH6016LPSQ","DMTH6016LPSQ")</f>
        <v>DMTH6016LPSQ</v>
      </c>
      <c r="D1862" t="s">
        <v>1580</v>
      </c>
      <c r="E1862" t="s">
        <v>27</v>
      </c>
      <c r="F1862" t="s">
        <v>37</v>
      </c>
      <c r="G1862" t="s">
        <v>29</v>
      </c>
      <c r="H1862" t="s">
        <v>30</v>
      </c>
      <c r="I1862">
        <v>60</v>
      </c>
      <c r="J1862">
        <v>20</v>
      </c>
      <c r="K1862">
        <v>10.6</v>
      </c>
      <c r="L1862">
        <v>37</v>
      </c>
      <c r="M1862">
        <v>2.6</v>
      </c>
      <c r="N1862">
        <v>37.5</v>
      </c>
      <c r="O1862">
        <v>16</v>
      </c>
      <c r="P1862">
        <v>24</v>
      </c>
      <c r="T1862">
        <v>2.5</v>
      </c>
      <c r="U1862">
        <v>8.4</v>
      </c>
      <c r="V1862">
        <v>17</v>
      </c>
      <c r="W1862">
        <v>864</v>
      </c>
      <c r="X1862">
        <v>30</v>
      </c>
      <c r="Y1862" t="s">
        <v>907</v>
      </c>
    </row>
    <row r="1863" spans="1:25">
      <c r="A1863" t="s">
        <v>2890</v>
      </c>
      <c r="B1863" s="2" t="str">
        <f>Hyperlink("https://www.diodes.com/datasheet/download/DMTH6016LPSWQ.pdf")</f>
        <v>https://www.diodes.com/datasheet/download/DMTH6016LPSWQ.pdf</v>
      </c>
      <c r="C1863" t="str">
        <f>Hyperlink("https://www.diodes.com/part/view/DMTH6016LPSWQ","DMTH6016LPSWQ")</f>
        <v>DMTH6016LPSWQ</v>
      </c>
      <c r="D1863" t="s">
        <v>1586</v>
      </c>
      <c r="E1863" t="s">
        <v>27</v>
      </c>
      <c r="F1863" t="s">
        <v>37</v>
      </c>
      <c r="G1863" t="s">
        <v>29</v>
      </c>
      <c r="H1863" t="s">
        <v>30</v>
      </c>
      <c r="I1863">
        <v>60</v>
      </c>
      <c r="J1863">
        <v>20</v>
      </c>
      <c r="L1863">
        <v>37.1</v>
      </c>
      <c r="M1863">
        <v>3</v>
      </c>
      <c r="N1863">
        <v>37.5</v>
      </c>
      <c r="O1863">
        <v>16</v>
      </c>
      <c r="S1863">
        <v>1</v>
      </c>
      <c r="T1863">
        <v>2.5</v>
      </c>
      <c r="V1863">
        <v>17</v>
      </c>
      <c r="W1863">
        <v>864</v>
      </c>
      <c r="X1863">
        <v>30</v>
      </c>
      <c r="Y1863" t="s">
        <v>1546</v>
      </c>
    </row>
    <row r="1864" spans="1:25">
      <c r="A1864" t="s">
        <v>2891</v>
      </c>
      <c r="B1864" s="2" t="str">
        <f>Hyperlink("https://www.diodes.com/datasheet/download/DMTH6016LSD.pdf")</f>
        <v>https://www.diodes.com/datasheet/download/DMTH6016LSD.pdf</v>
      </c>
      <c r="C1864" t="str">
        <f>Hyperlink("https://www.diodes.com/part/view/DMTH6016LSD","DMTH6016LSD")</f>
        <v>DMTH6016LSD</v>
      </c>
      <c r="D1864" t="s">
        <v>46</v>
      </c>
      <c r="E1864" t="s">
        <v>27</v>
      </c>
      <c r="F1864" t="s">
        <v>28</v>
      </c>
      <c r="G1864" t="s">
        <v>40</v>
      </c>
      <c r="H1864" t="s">
        <v>30</v>
      </c>
      <c r="I1864">
        <v>60</v>
      </c>
      <c r="J1864">
        <v>20</v>
      </c>
      <c r="K1864">
        <v>7.6</v>
      </c>
      <c r="M1864">
        <v>1.9</v>
      </c>
      <c r="O1864">
        <v>19.5</v>
      </c>
      <c r="P1864">
        <v>28</v>
      </c>
      <c r="T1864">
        <v>2.5</v>
      </c>
      <c r="U1864">
        <v>8.4</v>
      </c>
      <c r="V1864">
        <v>17</v>
      </c>
      <c r="W1864">
        <v>864</v>
      </c>
      <c r="X1864">
        <v>30</v>
      </c>
      <c r="Y1864" t="s">
        <v>213</v>
      </c>
    </row>
    <row r="1865" spans="1:25">
      <c r="A1865" t="s">
        <v>2892</v>
      </c>
      <c r="B1865" s="2" t="str">
        <f>Hyperlink("https://www.diodes.com/datasheet/download/DMTH6016LSDQ.pdf")</f>
        <v>https://www.diodes.com/datasheet/download/DMTH6016LSDQ.pdf</v>
      </c>
      <c r="C1865" t="str">
        <f>Hyperlink("https://www.diodes.com/part/view/DMTH6016LSDQ","DMTH6016LSDQ")</f>
        <v>DMTH6016LSDQ</v>
      </c>
      <c r="D1865" t="s">
        <v>1603</v>
      </c>
      <c r="E1865" t="s">
        <v>27</v>
      </c>
      <c r="F1865" t="s">
        <v>37</v>
      </c>
      <c r="G1865" t="s">
        <v>40</v>
      </c>
      <c r="H1865" t="s">
        <v>30</v>
      </c>
      <c r="I1865">
        <v>60</v>
      </c>
      <c r="J1865">
        <v>20</v>
      </c>
      <c r="K1865">
        <v>7.6</v>
      </c>
      <c r="M1865">
        <v>1.9</v>
      </c>
      <c r="O1865">
        <v>19.5</v>
      </c>
      <c r="P1865">
        <v>28</v>
      </c>
      <c r="T1865">
        <v>2.5</v>
      </c>
      <c r="U1865">
        <v>8.4</v>
      </c>
      <c r="V1865">
        <v>17</v>
      </c>
      <c r="W1865">
        <v>864</v>
      </c>
      <c r="X1865">
        <v>30</v>
      </c>
      <c r="Y1865" t="s">
        <v>213</v>
      </c>
    </row>
    <row r="1866" spans="1:25">
      <c r="A1866" t="s">
        <v>2893</v>
      </c>
      <c r="B1866" s="2" t="str">
        <f>Hyperlink("https://www.diodes.com/datasheet/download/DMTH6030LFDFW.pdf")</f>
        <v>https://www.diodes.com/datasheet/download/DMTH6030LFDFW.pdf</v>
      </c>
      <c r="C1866" t="str">
        <f>Hyperlink("https://www.diodes.com/part/view/DMTH6030LFDFW","DMTH6030LFDFW")</f>
        <v>DMTH6030LFDFW</v>
      </c>
      <c r="D1866" t="s">
        <v>1586</v>
      </c>
      <c r="E1866" t="s">
        <v>27</v>
      </c>
      <c r="F1866" t="s">
        <v>28</v>
      </c>
      <c r="G1866" t="s">
        <v>29</v>
      </c>
      <c r="H1866" t="s">
        <v>30</v>
      </c>
      <c r="I1866">
        <v>60</v>
      </c>
      <c r="J1866">
        <v>20</v>
      </c>
      <c r="K1866">
        <v>17.5</v>
      </c>
      <c r="M1866">
        <v>2.1</v>
      </c>
      <c r="N1866">
        <v>16.5</v>
      </c>
      <c r="O1866">
        <v>29</v>
      </c>
      <c r="S1866">
        <v>1</v>
      </c>
      <c r="T1866">
        <v>2.5</v>
      </c>
      <c r="V1866">
        <v>41.2</v>
      </c>
      <c r="W1866">
        <v>452</v>
      </c>
      <c r="X1866">
        <v>30</v>
      </c>
      <c r="Y1866" t="s">
        <v>2420</v>
      </c>
    </row>
    <row r="1867" spans="1:25">
      <c r="A1867" t="s">
        <v>2894</v>
      </c>
      <c r="B1867" s="2" t="str">
        <f>Hyperlink("https://www.diodes.com/datasheet/download/DMTH6030LFDFWQ.pdf")</f>
        <v>https://www.diodes.com/datasheet/download/DMTH6030LFDFWQ.pdf</v>
      </c>
      <c r="C1867" t="str">
        <f>Hyperlink("https://www.diodes.com/part/view/DMTH6030LFDFWQ","DMTH6030LFDFWQ")</f>
        <v>DMTH6030LFDFWQ</v>
      </c>
      <c r="D1867" t="s">
        <v>1586</v>
      </c>
      <c r="E1867" t="s">
        <v>27</v>
      </c>
      <c r="F1867" t="s">
        <v>37</v>
      </c>
      <c r="G1867" t="s">
        <v>29</v>
      </c>
      <c r="H1867" t="s">
        <v>30</v>
      </c>
      <c r="I1867">
        <v>60</v>
      </c>
      <c r="J1867">
        <v>20</v>
      </c>
      <c r="K1867">
        <v>17.5</v>
      </c>
      <c r="M1867">
        <v>2.1</v>
      </c>
      <c r="N1867">
        <v>16.5</v>
      </c>
      <c r="O1867">
        <v>29</v>
      </c>
      <c r="S1867">
        <v>1</v>
      </c>
      <c r="T1867">
        <v>2.5</v>
      </c>
      <c r="V1867">
        <v>41.2</v>
      </c>
      <c r="W1867">
        <v>452</v>
      </c>
      <c r="X1867">
        <v>30</v>
      </c>
      <c r="Y1867" t="s">
        <v>2420</v>
      </c>
    </row>
    <row r="1868" spans="1:25">
      <c r="A1868" t="s">
        <v>2895</v>
      </c>
      <c r="B1868" s="2" t="str">
        <f>Hyperlink("https://www.diodes.com/datasheet/download/DMTH61M5SPSW.pdf")</f>
        <v>https://www.diodes.com/datasheet/download/DMTH61M5SPSW.pdf</v>
      </c>
      <c r="C1868" t="str">
        <f>Hyperlink("https://www.diodes.com/part/view/DMTH61M5SPSW","DMTH61M5SPSW")</f>
        <v>DMTH61M5SPSW</v>
      </c>
      <c r="D1868" t="s">
        <v>1578</v>
      </c>
      <c r="E1868" t="s">
        <v>30</v>
      </c>
      <c r="F1868" t="s">
        <v>28</v>
      </c>
      <c r="G1868" t="s">
        <v>29</v>
      </c>
      <c r="H1868" t="s">
        <v>30</v>
      </c>
      <c r="I1868">
        <v>60</v>
      </c>
      <c r="J1868">
        <v>20</v>
      </c>
      <c r="L1868">
        <v>225</v>
      </c>
      <c r="M1868">
        <v>3.2</v>
      </c>
      <c r="N1868">
        <v>167</v>
      </c>
      <c r="O1868">
        <v>1.5</v>
      </c>
      <c r="T1868">
        <v>4</v>
      </c>
      <c r="V1868">
        <v>130.6</v>
      </c>
      <c r="W1868">
        <v>8306</v>
      </c>
      <c r="X1868">
        <v>30</v>
      </c>
      <c r="Y1868" t="s">
        <v>907</v>
      </c>
    </row>
    <row r="1869" spans="1:25">
      <c r="A1869" t="s">
        <v>2896</v>
      </c>
      <c r="B1869" s="2" t="str">
        <f>Hyperlink("https://www.diodes.com/datasheet/download/DMTH61M5SPSWQ.pdf")</f>
        <v>https://www.diodes.com/datasheet/download/DMTH61M5SPSWQ.pdf</v>
      </c>
      <c r="C1869" t="str">
        <f>Hyperlink("https://www.diodes.com/part/view/DMTH61M5SPSWQ","DMTH61M5SPSWQ")</f>
        <v>DMTH61M5SPSWQ</v>
      </c>
      <c r="D1869" t="s">
        <v>1578</v>
      </c>
      <c r="E1869" t="s">
        <v>27</v>
      </c>
      <c r="F1869" t="s">
        <v>37</v>
      </c>
      <c r="G1869" t="s">
        <v>29</v>
      </c>
      <c r="H1869" t="s">
        <v>30</v>
      </c>
      <c r="I1869">
        <v>60</v>
      </c>
      <c r="J1869">
        <v>20</v>
      </c>
      <c r="L1869">
        <v>225</v>
      </c>
      <c r="M1869">
        <v>3.2</v>
      </c>
      <c r="N1869">
        <v>167</v>
      </c>
      <c r="O1869">
        <v>1.5</v>
      </c>
      <c r="T1869">
        <v>4</v>
      </c>
      <c r="V1869">
        <v>130.6</v>
      </c>
      <c r="W1869">
        <v>8306</v>
      </c>
      <c r="X1869">
        <v>30</v>
      </c>
      <c r="Y1869" t="s">
        <v>907</v>
      </c>
    </row>
    <row r="1870" spans="1:25">
      <c r="A1870" t="s">
        <v>2897</v>
      </c>
      <c r="B1870" s="2" t="str">
        <f>Hyperlink("https://www.diodes.com/datasheet/download/DMTH61M8LPS.pdf")</f>
        <v>https://www.diodes.com/datasheet/download/DMTH61M8LPS.pdf</v>
      </c>
      <c r="C1870" t="str">
        <f>Hyperlink("https://www.diodes.com/part/view/DMTH61M8LPS","DMTH61M8LPS")</f>
        <v>DMTH61M8LPS</v>
      </c>
      <c r="D1870" t="s">
        <v>1578</v>
      </c>
      <c r="E1870" t="s">
        <v>30</v>
      </c>
      <c r="F1870" t="s">
        <v>28</v>
      </c>
      <c r="G1870" t="s">
        <v>29</v>
      </c>
      <c r="H1870" t="s">
        <v>30</v>
      </c>
      <c r="I1870">
        <v>60</v>
      </c>
      <c r="J1870">
        <v>20</v>
      </c>
      <c r="L1870">
        <v>225</v>
      </c>
      <c r="M1870">
        <v>3.2</v>
      </c>
      <c r="N1870">
        <v>187.5</v>
      </c>
      <c r="O1870">
        <v>1.6</v>
      </c>
      <c r="P1870">
        <v>2.8</v>
      </c>
      <c r="T1870">
        <v>3</v>
      </c>
      <c r="U1870">
        <v>53.3</v>
      </c>
      <c r="V1870">
        <v>115</v>
      </c>
      <c r="W1870">
        <v>8320</v>
      </c>
      <c r="X1870">
        <v>30</v>
      </c>
      <c r="Y1870" t="s">
        <v>907</v>
      </c>
    </row>
    <row r="1871" spans="1:25">
      <c r="A1871" t="s">
        <v>2898</v>
      </c>
      <c r="B1871" s="2" t="str">
        <f>Hyperlink("https://www.diodes.com/datasheet/download/DMTH61M8LPSQ.pdf")</f>
        <v>https://www.diodes.com/datasheet/download/DMTH61M8LPSQ.pdf</v>
      </c>
      <c r="C1871" t="str">
        <f>Hyperlink("https://www.diodes.com/part/view/DMTH61M8LPSQ","DMTH61M8LPSQ")</f>
        <v>DMTH61M8LPSQ</v>
      </c>
      <c r="D1871" t="s">
        <v>1578</v>
      </c>
      <c r="E1871" t="s">
        <v>27</v>
      </c>
      <c r="F1871" t="s">
        <v>37</v>
      </c>
      <c r="G1871" t="s">
        <v>29</v>
      </c>
      <c r="H1871" t="s">
        <v>30</v>
      </c>
      <c r="I1871">
        <v>60</v>
      </c>
      <c r="J1871">
        <v>20</v>
      </c>
      <c r="L1871">
        <v>225</v>
      </c>
      <c r="M1871">
        <v>3.2</v>
      </c>
      <c r="N1871">
        <v>187.5</v>
      </c>
      <c r="O1871">
        <v>1.6</v>
      </c>
      <c r="P1871">
        <v>2.8</v>
      </c>
      <c r="T1871">
        <v>3</v>
      </c>
      <c r="U1871">
        <v>53.3</v>
      </c>
      <c r="V1871">
        <v>115.5</v>
      </c>
      <c r="W1871">
        <v>8320</v>
      </c>
      <c r="X1871">
        <v>30</v>
      </c>
      <c r="Y1871" t="s">
        <v>907</v>
      </c>
    </row>
    <row r="1872" spans="1:25">
      <c r="A1872" t="s">
        <v>2899</v>
      </c>
      <c r="B1872" s="2" t="str">
        <f>Hyperlink("https://www.diodes.com/datasheet/download/DMTH61M8SPS.pdf")</f>
        <v>https://www.diodes.com/datasheet/download/DMTH61M8SPS.pdf</v>
      </c>
      <c r="C1872" t="str">
        <f>Hyperlink("https://www.diodes.com/part/view/DMTH61M8SPS","DMTH61M8SPS")</f>
        <v>DMTH61M8SPS</v>
      </c>
      <c r="D1872" t="s">
        <v>1578</v>
      </c>
      <c r="E1872" t="s">
        <v>27</v>
      </c>
      <c r="F1872" t="s">
        <v>28</v>
      </c>
      <c r="G1872" t="s">
        <v>29</v>
      </c>
      <c r="H1872" t="s">
        <v>30</v>
      </c>
      <c r="I1872">
        <v>60</v>
      </c>
      <c r="J1872">
        <v>20</v>
      </c>
      <c r="L1872">
        <v>215</v>
      </c>
      <c r="M1872">
        <v>3.2</v>
      </c>
      <c r="N1872">
        <v>167</v>
      </c>
      <c r="O1872">
        <v>1.6</v>
      </c>
      <c r="T1872">
        <v>4</v>
      </c>
      <c r="V1872">
        <v>130.6</v>
      </c>
      <c r="W1872">
        <v>8306</v>
      </c>
      <c r="X1872">
        <v>30</v>
      </c>
      <c r="Y1872" t="s">
        <v>907</v>
      </c>
    </row>
    <row r="1873" spans="1:25">
      <c r="A1873" t="s">
        <v>2900</v>
      </c>
      <c r="B1873" s="2" t="str">
        <f>Hyperlink("https://www.diodes.com/datasheet/download/DMTH61M8SPSQ.pdf")</f>
        <v>https://www.diodes.com/datasheet/download/DMTH61M8SPSQ.pdf</v>
      </c>
      <c r="C1873" t="str">
        <f>Hyperlink("https://www.diodes.com/part/view/DMTH61M8SPSQ","DMTH61M8SPSQ")</f>
        <v>DMTH61M8SPSQ</v>
      </c>
      <c r="D1873" t="s">
        <v>1578</v>
      </c>
      <c r="E1873" t="s">
        <v>27</v>
      </c>
      <c r="F1873" t="s">
        <v>37</v>
      </c>
      <c r="G1873" t="s">
        <v>29</v>
      </c>
      <c r="H1873" t="s">
        <v>30</v>
      </c>
      <c r="I1873">
        <v>60</v>
      </c>
      <c r="J1873">
        <v>20</v>
      </c>
      <c r="L1873">
        <v>215</v>
      </c>
      <c r="M1873">
        <v>3.2</v>
      </c>
      <c r="N1873">
        <v>167</v>
      </c>
      <c r="O1873">
        <v>1.6</v>
      </c>
      <c r="T1873">
        <v>4</v>
      </c>
      <c r="V1873">
        <v>130.6</v>
      </c>
      <c r="W1873">
        <v>8306</v>
      </c>
      <c r="X1873">
        <v>30</v>
      </c>
      <c r="Y1873" t="s">
        <v>907</v>
      </c>
    </row>
    <row r="1874" spans="1:25">
      <c r="A1874" t="s">
        <v>2901</v>
      </c>
      <c r="B1874" s="2" t="str">
        <f>Hyperlink("https://www.diodes.com/datasheet/download/DMTH62M7SPSW.pdf")</f>
        <v>https://www.diodes.com/datasheet/download/DMTH62M7SPSW.pdf</v>
      </c>
      <c r="C1874" t="str">
        <f>Hyperlink("https://www.diodes.com/part/view/DMTH62M7SPSW","DMTH62M7SPSW")</f>
        <v>DMTH62M7SPSW</v>
      </c>
      <c r="D1874" t="s">
        <v>1586</v>
      </c>
      <c r="E1874" t="s">
        <v>30</v>
      </c>
      <c r="F1874" t="s">
        <v>28</v>
      </c>
      <c r="G1874" t="s">
        <v>29</v>
      </c>
      <c r="H1874" t="s">
        <v>30</v>
      </c>
      <c r="I1874">
        <v>60</v>
      </c>
      <c r="J1874">
        <v>20</v>
      </c>
      <c r="L1874">
        <v>170</v>
      </c>
      <c r="M1874">
        <v>3</v>
      </c>
      <c r="N1874">
        <v>150</v>
      </c>
      <c r="O1874">
        <v>2.7</v>
      </c>
      <c r="S1874">
        <v>2</v>
      </c>
      <c r="T1874">
        <v>4</v>
      </c>
      <c r="V1874">
        <v>68.7</v>
      </c>
      <c r="W1874">
        <v>4973</v>
      </c>
      <c r="X1874">
        <v>30</v>
      </c>
      <c r="Y1874" t="s">
        <v>1546</v>
      </c>
    </row>
    <row r="1875" spans="1:25">
      <c r="A1875" t="s">
        <v>2902</v>
      </c>
      <c r="B1875" s="2" t="str">
        <f>Hyperlink("https://www.diodes.com/datasheet/download/DMTH62M7SPSWQ.pdf")</f>
        <v>https://www.diodes.com/datasheet/download/DMTH62M7SPSWQ.pdf</v>
      </c>
      <c r="C1875" t="str">
        <f>Hyperlink("https://www.diodes.com/part/view/DMTH62M7SPSWQ","DMTH62M7SPSWQ")</f>
        <v>DMTH62M7SPSWQ</v>
      </c>
      <c r="D1875" t="s">
        <v>1586</v>
      </c>
      <c r="E1875" t="s">
        <v>27</v>
      </c>
      <c r="F1875" t="s">
        <v>37</v>
      </c>
      <c r="G1875" t="s">
        <v>29</v>
      </c>
      <c r="H1875" t="s">
        <v>30</v>
      </c>
      <c r="I1875">
        <v>60</v>
      </c>
      <c r="J1875">
        <v>20</v>
      </c>
      <c r="L1875">
        <v>170</v>
      </c>
      <c r="M1875">
        <v>3</v>
      </c>
      <c r="N1875">
        <v>150</v>
      </c>
      <c r="O1875">
        <v>2.7</v>
      </c>
      <c r="S1875">
        <v>2</v>
      </c>
      <c r="T1875">
        <v>4</v>
      </c>
      <c r="V1875">
        <v>68.7</v>
      </c>
      <c r="W1875">
        <v>4973</v>
      </c>
      <c r="X1875">
        <v>30</v>
      </c>
      <c r="Y1875" t="s">
        <v>1546</v>
      </c>
    </row>
    <row r="1876" spans="1:25">
      <c r="A1876" t="s">
        <v>2903</v>
      </c>
      <c r="B1876" s="2" t="str">
        <f>Hyperlink("https://www.diodes.com/datasheet/download/DMTH62M8LPS.pdf")</f>
        <v>https://www.diodes.com/datasheet/download/DMTH62M8LPS.pdf</v>
      </c>
      <c r="C1876" t="str">
        <f>Hyperlink("https://www.diodes.com/part/view/DMTH62M8LPS","DMTH62M8LPS")</f>
        <v>DMTH62M8LPS</v>
      </c>
      <c r="D1876" t="s">
        <v>1578</v>
      </c>
      <c r="E1876" t="s">
        <v>30</v>
      </c>
      <c r="F1876" t="s">
        <v>28</v>
      </c>
      <c r="G1876" t="s">
        <v>29</v>
      </c>
      <c r="H1876" t="s">
        <v>30</v>
      </c>
      <c r="I1876">
        <v>60</v>
      </c>
      <c r="J1876">
        <v>20</v>
      </c>
      <c r="L1876">
        <v>100</v>
      </c>
      <c r="M1876">
        <v>3.13</v>
      </c>
      <c r="N1876">
        <v>115</v>
      </c>
      <c r="O1876">
        <v>2.8</v>
      </c>
      <c r="P1876">
        <v>4.4</v>
      </c>
      <c r="T1876">
        <v>3</v>
      </c>
      <c r="U1876">
        <v>47.4</v>
      </c>
      <c r="V1876">
        <v>96.3</v>
      </c>
      <c r="W1876">
        <v>4515</v>
      </c>
      <c r="X1876">
        <v>30</v>
      </c>
      <c r="Y1876" t="s">
        <v>907</v>
      </c>
    </row>
    <row r="1877" spans="1:25">
      <c r="A1877" t="s">
        <v>2904</v>
      </c>
      <c r="B1877" s="2" t="str">
        <f>Hyperlink("https://www.diodes.com/datasheet/download/DMTH62M8SPS.pdf")</f>
        <v>https://www.diodes.com/datasheet/download/DMTH62M8SPS.pdf</v>
      </c>
      <c r="C1877" t="str">
        <f>Hyperlink("https://www.diodes.com/part/view/DMTH62M8SPS","DMTH62M8SPS")</f>
        <v>DMTH62M8SPS</v>
      </c>
      <c r="D1877" t="s">
        <v>1578</v>
      </c>
      <c r="E1877" t="s">
        <v>30</v>
      </c>
      <c r="F1877" t="s">
        <v>28</v>
      </c>
      <c r="G1877" t="s">
        <v>29</v>
      </c>
      <c r="H1877" t="s">
        <v>30</v>
      </c>
      <c r="I1877">
        <v>60</v>
      </c>
      <c r="J1877">
        <v>20</v>
      </c>
      <c r="L1877">
        <v>100</v>
      </c>
      <c r="M1877">
        <v>3.2</v>
      </c>
      <c r="N1877">
        <v>125</v>
      </c>
      <c r="O1877">
        <v>2.8</v>
      </c>
      <c r="T1877">
        <v>4</v>
      </c>
      <c r="V1877">
        <v>95.4</v>
      </c>
      <c r="W1877">
        <v>4556</v>
      </c>
      <c r="X1877">
        <v>30</v>
      </c>
      <c r="Y1877" t="s">
        <v>907</v>
      </c>
    </row>
    <row r="1878" spans="1:25">
      <c r="A1878" t="s">
        <v>2905</v>
      </c>
      <c r="B1878" s="2" t="str">
        <f>Hyperlink("https://www.diodes.com/datasheet/download/DMTH63M5LFG.pdf")</f>
        <v>https://www.diodes.com/datasheet/download/DMTH63M5LFG.pdf</v>
      </c>
      <c r="C1878" t="str">
        <f>Hyperlink("https://www.diodes.com/part/view/DMTH63M5LFG","DMTH63M5LFG")</f>
        <v>DMTH63M5LFG</v>
      </c>
      <c r="D1878" t="s">
        <v>1586</v>
      </c>
      <c r="E1878" t="s">
        <v>27</v>
      </c>
      <c r="F1878" t="s">
        <v>28</v>
      </c>
      <c r="G1878" t="s">
        <v>29</v>
      </c>
      <c r="H1878" t="s">
        <v>30</v>
      </c>
      <c r="I1878">
        <v>60</v>
      </c>
      <c r="J1878">
        <v>20</v>
      </c>
      <c r="L1878">
        <v>90.3</v>
      </c>
      <c r="M1878">
        <v>3.4</v>
      </c>
      <c r="N1878">
        <v>63.3</v>
      </c>
      <c r="O1878">
        <v>4</v>
      </c>
      <c r="S1878">
        <v>1.3</v>
      </c>
      <c r="T1878">
        <v>2.5</v>
      </c>
      <c r="V1878">
        <v>41.2</v>
      </c>
      <c r="W1878">
        <v>2378</v>
      </c>
      <c r="X1878">
        <v>30</v>
      </c>
      <c r="Y1878" t="s">
        <v>718</v>
      </c>
    </row>
    <row r="1879" spans="1:25">
      <c r="A1879" t="s">
        <v>2906</v>
      </c>
      <c r="B1879" s="2" t="str">
        <f>Hyperlink("https://www.diodes.com/datasheet/download/DMTH63M5LFGQ.pdf")</f>
        <v>https://www.diodes.com/datasheet/download/DMTH63M5LFGQ.pdf</v>
      </c>
      <c r="C1879" t="str">
        <f>Hyperlink("https://www.diodes.com/part/view/DMTH63M5LFGQ","DMTH63M5LFGQ")</f>
        <v>DMTH63M5LFGQ</v>
      </c>
      <c r="D1879" t="s">
        <v>1586</v>
      </c>
      <c r="E1879" t="s">
        <v>27</v>
      </c>
      <c r="F1879" t="s">
        <v>37</v>
      </c>
      <c r="G1879" t="s">
        <v>29</v>
      </c>
      <c r="H1879" t="s">
        <v>30</v>
      </c>
      <c r="I1879">
        <v>60</v>
      </c>
      <c r="J1879">
        <v>20</v>
      </c>
      <c r="L1879">
        <v>90.3</v>
      </c>
      <c r="M1879">
        <v>3.4</v>
      </c>
      <c r="N1879">
        <v>63.3</v>
      </c>
      <c r="O1879">
        <v>4</v>
      </c>
      <c r="S1879">
        <v>1.3</v>
      </c>
      <c r="T1879">
        <v>2.5</v>
      </c>
      <c r="V1879">
        <v>41.2</v>
      </c>
      <c r="W1879">
        <v>2378</v>
      </c>
      <c r="X1879">
        <v>30</v>
      </c>
      <c r="Y1879" t="s">
        <v>718</v>
      </c>
    </row>
    <row r="1880" spans="1:25">
      <c r="A1880" t="s">
        <v>2907</v>
      </c>
      <c r="B1880" s="2" t="str">
        <f>Hyperlink("https://www.diodes.com/datasheet/download/DMTH63M6LPSW.pdf")</f>
        <v>https://www.diodes.com/datasheet/download/DMTH63M6LPSW.pdf</v>
      </c>
      <c r="C1880" t="str">
        <f>Hyperlink("https://www.diodes.com/part/view/DMTH63M6LPSW","DMTH63M6LPSW")</f>
        <v>DMTH63M6LPSW</v>
      </c>
      <c r="D1880" t="s">
        <v>1578</v>
      </c>
      <c r="E1880" t="s">
        <v>27</v>
      </c>
      <c r="F1880" t="s">
        <v>28</v>
      </c>
      <c r="G1880" t="s">
        <v>29</v>
      </c>
      <c r="H1880" t="s">
        <v>30</v>
      </c>
      <c r="I1880">
        <v>60</v>
      </c>
      <c r="J1880">
        <v>20</v>
      </c>
      <c r="L1880">
        <v>105</v>
      </c>
      <c r="M1880">
        <v>3.3</v>
      </c>
      <c r="N1880">
        <v>84.7</v>
      </c>
      <c r="O1880">
        <v>4.1</v>
      </c>
      <c r="P1880">
        <v>6.2</v>
      </c>
      <c r="S1880">
        <v>1.3</v>
      </c>
      <c r="T1880">
        <v>2.5</v>
      </c>
      <c r="U1880">
        <v>23</v>
      </c>
      <c r="V1880">
        <v>44.8</v>
      </c>
      <c r="W1880">
        <v>2479</v>
      </c>
      <c r="X1880">
        <v>30</v>
      </c>
      <c r="Y1880" t="s">
        <v>1546</v>
      </c>
    </row>
    <row r="1881" spans="1:25">
      <c r="A1881" t="s">
        <v>2908</v>
      </c>
      <c r="B1881" s="2" t="str">
        <f>Hyperlink("https://www.diodes.com/datasheet/download/DMTH63M6LPSWQ.pdf")</f>
        <v>https://www.diodes.com/datasheet/download/DMTH63M6LPSWQ.pdf</v>
      </c>
      <c r="C1881" t="str">
        <f>Hyperlink("https://www.diodes.com/part/view/DMTH63M6LPSWQ","DMTH63M6LPSWQ")</f>
        <v>DMTH63M6LPSWQ</v>
      </c>
      <c r="D1881" t="s">
        <v>1578</v>
      </c>
      <c r="E1881" t="s">
        <v>27</v>
      </c>
      <c r="F1881" t="s">
        <v>37</v>
      </c>
      <c r="G1881" t="s">
        <v>29</v>
      </c>
      <c r="H1881" t="s">
        <v>30</v>
      </c>
      <c r="I1881">
        <v>60</v>
      </c>
      <c r="J1881">
        <v>20</v>
      </c>
      <c r="L1881">
        <v>105</v>
      </c>
      <c r="M1881">
        <v>3.3</v>
      </c>
      <c r="N1881">
        <v>84.7</v>
      </c>
      <c r="O1881">
        <v>4.1</v>
      </c>
      <c r="P1881">
        <v>6.2</v>
      </c>
      <c r="S1881">
        <v>1.3</v>
      </c>
      <c r="T1881">
        <v>2.5</v>
      </c>
      <c r="U1881">
        <v>23</v>
      </c>
      <c r="V1881">
        <v>44.8</v>
      </c>
      <c r="W1881">
        <v>2479</v>
      </c>
      <c r="X1881">
        <v>30</v>
      </c>
      <c r="Y1881" t="s">
        <v>1546</v>
      </c>
    </row>
    <row r="1882" spans="1:25">
      <c r="A1882" t="s">
        <v>2909</v>
      </c>
      <c r="B1882" s="2" t="str">
        <f>Hyperlink("https://www.diodes.com/datasheet/download/DMTH69M8LFVW.pdf")</f>
        <v>https://www.diodes.com/datasheet/download/DMTH69M8LFVW.pdf</v>
      </c>
      <c r="C1882" t="str">
        <f>Hyperlink("https://www.diodes.com/part/view/DMTH69M8LFVW","DMTH69M8LFVW")</f>
        <v>DMTH69M8LFVW</v>
      </c>
      <c r="D1882" t="s">
        <v>1580</v>
      </c>
      <c r="E1882" t="s">
        <v>27</v>
      </c>
      <c r="F1882" t="s">
        <v>28</v>
      </c>
      <c r="G1882" t="s">
        <v>29</v>
      </c>
      <c r="H1882" t="s">
        <v>30</v>
      </c>
      <c r="I1882">
        <v>60</v>
      </c>
      <c r="J1882">
        <v>16</v>
      </c>
      <c r="K1882">
        <v>15.9</v>
      </c>
      <c r="L1882">
        <v>45.4</v>
      </c>
      <c r="M1882">
        <v>3.6</v>
      </c>
      <c r="N1882">
        <v>29.4</v>
      </c>
      <c r="O1882">
        <v>9.5</v>
      </c>
      <c r="P1882">
        <v>13.3</v>
      </c>
      <c r="T1882">
        <v>3</v>
      </c>
      <c r="U1882">
        <v>15.6</v>
      </c>
      <c r="V1882">
        <v>33.5</v>
      </c>
      <c r="W1882">
        <v>1925</v>
      </c>
      <c r="X1882">
        <v>30</v>
      </c>
      <c r="Y1882" t="s">
        <v>718</v>
      </c>
    </row>
    <row r="1883" spans="1:25">
      <c r="A1883" t="s">
        <v>2910</v>
      </c>
      <c r="B1883" s="2" t="str">
        <f>Hyperlink("https://www.diodes.com/datasheet/download/DMTH69M8LFVWQ.pdf")</f>
        <v>https://www.diodes.com/datasheet/download/DMTH69M8LFVWQ.pdf</v>
      </c>
      <c r="C1883" t="str">
        <f>Hyperlink("https://www.diodes.com/part/view/DMTH69M8LFVWQ","DMTH69M8LFVWQ")</f>
        <v>DMTH69M8LFVWQ</v>
      </c>
      <c r="D1883" t="s">
        <v>1580</v>
      </c>
      <c r="E1883" t="s">
        <v>27</v>
      </c>
      <c r="F1883" t="s">
        <v>37</v>
      </c>
      <c r="G1883" t="s">
        <v>29</v>
      </c>
      <c r="H1883" t="s">
        <v>30</v>
      </c>
      <c r="I1883">
        <v>60</v>
      </c>
      <c r="J1883">
        <v>16</v>
      </c>
      <c r="K1883">
        <v>15.9</v>
      </c>
      <c r="L1883">
        <v>45.4</v>
      </c>
      <c r="M1883">
        <v>3.6</v>
      </c>
      <c r="N1883">
        <v>29.4</v>
      </c>
      <c r="O1883">
        <v>9.5</v>
      </c>
      <c r="P1883">
        <v>13.3</v>
      </c>
      <c r="T1883">
        <v>3</v>
      </c>
      <c r="U1883">
        <v>15.6</v>
      </c>
      <c r="V1883">
        <v>33.5</v>
      </c>
      <c r="W1883">
        <v>1925</v>
      </c>
      <c r="X1883">
        <v>30</v>
      </c>
      <c r="Y1883" t="s">
        <v>718</v>
      </c>
    </row>
    <row r="1884" spans="1:25">
      <c r="A1884" t="s">
        <v>2911</v>
      </c>
      <c r="B1884" s="2" t="str">
        <f>Hyperlink("https://www.diodes.com/datasheet/download/DMTH69M9LPDW.pdf")</f>
        <v>https://www.diodes.com/datasheet/download/DMTH69M9LPDW.pdf</v>
      </c>
      <c r="C1884" t="str">
        <f>Hyperlink("https://www.diodes.com/part/view/DMTH69M9LPDW","DMTH69M9LPDW")</f>
        <v>DMTH69M9LPDW</v>
      </c>
      <c r="D1884" t="s">
        <v>1616</v>
      </c>
      <c r="E1884" t="s">
        <v>30</v>
      </c>
      <c r="F1884" t="s">
        <v>28</v>
      </c>
      <c r="G1884" t="s">
        <v>40</v>
      </c>
      <c r="H1884" t="s">
        <v>30</v>
      </c>
      <c r="I1884">
        <v>60</v>
      </c>
      <c r="J1884">
        <v>16</v>
      </c>
      <c r="L1884">
        <v>49</v>
      </c>
      <c r="M1884">
        <v>2.8</v>
      </c>
      <c r="N1884">
        <v>51.7</v>
      </c>
      <c r="O1884">
        <v>12.5</v>
      </c>
      <c r="S1884">
        <v>0.7</v>
      </c>
      <c r="T1884">
        <v>2</v>
      </c>
      <c r="V1884">
        <v>32</v>
      </c>
      <c r="W1884">
        <v>2178</v>
      </c>
      <c r="X1884">
        <v>30</v>
      </c>
      <c r="Y1884" t="s">
        <v>168</v>
      </c>
    </row>
    <row r="1885" spans="1:25">
      <c r="A1885" t="s">
        <v>2912</v>
      </c>
      <c r="B1885" s="2" t="str">
        <f>Hyperlink("https://www.diodes.com/datasheet/download/DMTH69M9LPDWQ.pdf")</f>
        <v>https://www.diodes.com/datasheet/download/DMTH69M9LPDWQ.pdf</v>
      </c>
      <c r="C1885" t="str">
        <f>Hyperlink("https://www.diodes.com/part/view/DMTH69M9LPDWQ","DMTH69M9LPDWQ")</f>
        <v>DMTH69M9LPDWQ</v>
      </c>
      <c r="D1885" t="s">
        <v>1616</v>
      </c>
      <c r="E1885" t="s">
        <v>27</v>
      </c>
      <c r="F1885" t="s">
        <v>37</v>
      </c>
      <c r="G1885" t="s">
        <v>40</v>
      </c>
      <c r="H1885" t="s">
        <v>30</v>
      </c>
      <c r="I1885">
        <v>60</v>
      </c>
      <c r="J1885">
        <v>16</v>
      </c>
      <c r="L1885">
        <v>49</v>
      </c>
      <c r="M1885">
        <v>2.8</v>
      </c>
      <c r="N1885" t="s">
        <v>2913</v>
      </c>
      <c r="O1885">
        <v>12.5</v>
      </c>
      <c r="S1885">
        <v>0.7</v>
      </c>
      <c r="T1885">
        <v>2</v>
      </c>
      <c r="V1885">
        <v>32</v>
      </c>
      <c r="W1885">
        <v>2178</v>
      </c>
      <c r="X1885">
        <v>30</v>
      </c>
      <c r="Y1885" t="s">
        <v>168</v>
      </c>
    </row>
    <row r="1886" spans="1:25">
      <c r="A1886" t="s">
        <v>2914</v>
      </c>
      <c r="B1886" s="2" t="str">
        <f>Hyperlink("https://www.diodes.com/datasheet/download/DMTH8001STLW.pdf")</f>
        <v>https://www.diodes.com/datasheet/download/DMTH8001STLW.pdf</v>
      </c>
      <c r="C1886" t="str">
        <f>Hyperlink("https://www.diodes.com/part/view/DMTH8001STLW","DMTH8001STLW")</f>
        <v>DMTH8001STLW</v>
      </c>
      <c r="D1886" t="s">
        <v>2915</v>
      </c>
      <c r="E1886" t="s">
        <v>30</v>
      </c>
      <c r="F1886" t="s">
        <v>28</v>
      </c>
      <c r="G1886" t="s">
        <v>29</v>
      </c>
      <c r="H1886" t="s">
        <v>30</v>
      </c>
      <c r="I1886">
        <v>80</v>
      </c>
      <c r="J1886">
        <v>20</v>
      </c>
      <c r="L1886">
        <v>270</v>
      </c>
      <c r="M1886">
        <v>6</v>
      </c>
      <c r="N1886">
        <v>250</v>
      </c>
      <c r="O1886">
        <v>1.7</v>
      </c>
      <c r="T1886">
        <v>4</v>
      </c>
      <c r="V1886">
        <v>138</v>
      </c>
      <c r="W1886">
        <v>8894</v>
      </c>
      <c r="X1886">
        <v>50</v>
      </c>
      <c r="Y1886" t="s">
        <v>2654</v>
      </c>
    </row>
    <row r="1887" spans="1:25">
      <c r="A1887" t="s">
        <v>2916</v>
      </c>
      <c r="B1887" s="2" t="str">
        <f>Hyperlink("https://www.diodes.com/datasheet/download/DMTH8001STLWQ.pdf")</f>
        <v>https://www.diodes.com/datasheet/download/DMTH8001STLWQ.pdf</v>
      </c>
      <c r="C1887" t="str">
        <f>Hyperlink("https://www.diodes.com/part/view/DMTH8001STLWQ","DMTH8001STLWQ")</f>
        <v>DMTH8001STLWQ</v>
      </c>
      <c r="D1887" t="s">
        <v>2917</v>
      </c>
      <c r="E1887" t="s">
        <v>27</v>
      </c>
      <c r="F1887" t="s">
        <v>37</v>
      </c>
      <c r="G1887" t="s">
        <v>29</v>
      </c>
      <c r="H1887" t="s">
        <v>30</v>
      </c>
      <c r="I1887">
        <v>80</v>
      </c>
      <c r="J1887">
        <v>20</v>
      </c>
      <c r="L1887">
        <v>270</v>
      </c>
      <c r="M1887">
        <v>6</v>
      </c>
      <c r="N1887">
        <v>250</v>
      </c>
      <c r="O1887">
        <v>1.7</v>
      </c>
      <c r="T1887">
        <v>4</v>
      </c>
      <c r="V1887">
        <v>138</v>
      </c>
      <c r="W1887">
        <v>8894</v>
      </c>
      <c r="X1887">
        <v>50</v>
      </c>
      <c r="Y1887" t="s">
        <v>2654</v>
      </c>
    </row>
    <row r="1888" spans="1:25">
      <c r="A1888" t="s">
        <v>2918</v>
      </c>
      <c r="B1888" s="2" t="str">
        <f>Hyperlink("https://www.diodes.com/datasheet/download/DMTH8003SPS.pdf")</f>
        <v>https://www.diodes.com/datasheet/download/DMTH8003SPS.pdf</v>
      </c>
      <c r="C1888" t="str">
        <f>Hyperlink("https://www.diodes.com/part/view/DMTH8003SPS","DMTH8003SPS")</f>
        <v>DMTH8003SPS</v>
      </c>
      <c r="D1888" t="s">
        <v>2919</v>
      </c>
      <c r="E1888" t="s">
        <v>30</v>
      </c>
      <c r="F1888" t="s">
        <v>28</v>
      </c>
      <c r="G1888" t="s">
        <v>29</v>
      </c>
      <c r="H1888" t="s">
        <v>30</v>
      </c>
      <c r="I1888">
        <v>80</v>
      </c>
      <c r="J1888">
        <v>20</v>
      </c>
      <c r="L1888">
        <v>120</v>
      </c>
      <c r="M1888">
        <v>2.9</v>
      </c>
      <c r="N1888">
        <v>125</v>
      </c>
      <c r="O1888">
        <v>3.9</v>
      </c>
      <c r="P1888" t="s">
        <v>2920</v>
      </c>
      <c r="T1888">
        <v>4</v>
      </c>
      <c r="V1888">
        <v>124.3</v>
      </c>
      <c r="W1888">
        <v>8952</v>
      </c>
      <c r="X1888">
        <v>40</v>
      </c>
      <c r="Y1888" t="s">
        <v>907</v>
      </c>
    </row>
    <row r="1889" spans="1:25">
      <c r="A1889" t="s">
        <v>2921</v>
      </c>
      <c r="B1889" s="2" t="str">
        <f>Hyperlink("https://www.diodes.com/datasheet/download/DMTH8003SPSW.pdf")</f>
        <v>https://www.diodes.com/datasheet/download/DMTH8003SPSW.pdf</v>
      </c>
      <c r="C1889" t="str">
        <f>Hyperlink("https://www.diodes.com/part/view/DMTH8003SPSW","DMTH8003SPSW")</f>
        <v>DMTH8003SPSW</v>
      </c>
      <c r="D1889" t="s">
        <v>2922</v>
      </c>
      <c r="E1889" t="s">
        <v>30</v>
      </c>
      <c r="F1889" t="s">
        <v>28</v>
      </c>
      <c r="G1889" t="s">
        <v>29</v>
      </c>
      <c r="H1889" t="s">
        <v>30</v>
      </c>
      <c r="I1889">
        <v>80</v>
      </c>
      <c r="J1889">
        <v>20</v>
      </c>
      <c r="L1889">
        <v>105</v>
      </c>
      <c r="M1889">
        <v>3.75</v>
      </c>
      <c r="N1889">
        <v>99</v>
      </c>
      <c r="O1889">
        <v>3.9</v>
      </c>
      <c r="S1889">
        <v>2</v>
      </c>
      <c r="T1889">
        <v>4</v>
      </c>
      <c r="V1889">
        <v>136</v>
      </c>
      <c r="W1889">
        <v>9081</v>
      </c>
      <c r="X1889">
        <v>40</v>
      </c>
      <c r="Y1889" t="s">
        <v>1546</v>
      </c>
    </row>
    <row r="1890" spans="1:25">
      <c r="A1890" t="s">
        <v>2923</v>
      </c>
      <c r="B1890" s="2" t="str">
        <f>Hyperlink("https://www.diodes.com/datasheet/download/DMTH8003SPSWQ.pdf")</f>
        <v>https://www.diodes.com/datasheet/download/DMTH8003SPSWQ.pdf</v>
      </c>
      <c r="C1890" t="str">
        <f>Hyperlink("https://www.diodes.com/part/view/DMTH8003SPSWQ","DMTH8003SPSWQ")</f>
        <v>DMTH8003SPSWQ</v>
      </c>
      <c r="D1890" t="s">
        <v>2922</v>
      </c>
      <c r="E1890" t="s">
        <v>27</v>
      </c>
      <c r="F1890" t="s">
        <v>37</v>
      </c>
      <c r="G1890" t="s">
        <v>29</v>
      </c>
      <c r="H1890" t="s">
        <v>30</v>
      </c>
      <c r="I1890">
        <v>80</v>
      </c>
      <c r="J1890">
        <v>20</v>
      </c>
      <c r="L1890">
        <v>105</v>
      </c>
      <c r="M1890">
        <v>3.75</v>
      </c>
      <c r="N1890">
        <v>99</v>
      </c>
      <c r="O1890">
        <v>3.9</v>
      </c>
      <c r="S1890">
        <v>2</v>
      </c>
      <c r="T1890">
        <v>4</v>
      </c>
      <c r="V1890">
        <v>136</v>
      </c>
      <c r="W1890">
        <v>9081</v>
      </c>
      <c r="X1890">
        <v>40</v>
      </c>
      <c r="Y1890" t="s">
        <v>1546</v>
      </c>
    </row>
    <row r="1891" spans="1:25">
      <c r="A1891" t="s">
        <v>2924</v>
      </c>
      <c r="B1891" s="2" t="str">
        <f>Hyperlink("https://www.diodes.com/datasheet/download/DMTH8003STLW.pdf")</f>
        <v>https://www.diodes.com/datasheet/download/DMTH8003STLW.pdf</v>
      </c>
      <c r="C1891" t="str">
        <f>Hyperlink("https://www.diodes.com/part/view/DMTH8003STLW","DMTH8003STLW")</f>
        <v>DMTH8003STLW</v>
      </c>
      <c r="D1891" t="s">
        <v>2925</v>
      </c>
      <c r="E1891" t="s">
        <v>27</v>
      </c>
      <c r="F1891" t="s">
        <v>28</v>
      </c>
      <c r="G1891" t="s">
        <v>29</v>
      </c>
      <c r="H1891" t="s">
        <v>30</v>
      </c>
      <c r="I1891">
        <v>80</v>
      </c>
      <c r="J1891">
        <v>20</v>
      </c>
      <c r="L1891">
        <v>173</v>
      </c>
      <c r="M1891">
        <v>5.6</v>
      </c>
      <c r="N1891">
        <v>150</v>
      </c>
      <c r="O1891">
        <v>2.5</v>
      </c>
      <c r="S1891">
        <v>2</v>
      </c>
      <c r="T1891">
        <v>4</v>
      </c>
      <c r="V1891">
        <v>124</v>
      </c>
      <c r="W1891">
        <v>8191</v>
      </c>
      <c r="X1891">
        <v>40</v>
      </c>
      <c r="Y1891" t="s">
        <v>2654</v>
      </c>
    </row>
    <row r="1892" spans="1:25">
      <c r="A1892" t="s">
        <v>2926</v>
      </c>
      <c r="B1892" s="2" t="str">
        <f>Hyperlink("https://www.diodes.com/datasheet/download/DMTH8003STLWQ.pdf")</f>
        <v>https://www.diodes.com/datasheet/download/DMTH8003STLWQ.pdf</v>
      </c>
      <c r="C1892" t="str">
        <f>Hyperlink("https://www.diodes.com/part/view/DMTH8003STLWQ","DMTH8003STLWQ")</f>
        <v>DMTH8003STLWQ</v>
      </c>
      <c r="D1892" t="s">
        <v>2927</v>
      </c>
      <c r="E1892" t="s">
        <v>27</v>
      </c>
      <c r="F1892" t="s">
        <v>37</v>
      </c>
      <c r="G1892" t="s">
        <v>29</v>
      </c>
      <c r="H1892" t="s">
        <v>30</v>
      </c>
      <c r="I1892">
        <v>80</v>
      </c>
      <c r="J1892">
        <v>20</v>
      </c>
      <c r="L1892">
        <v>173</v>
      </c>
      <c r="M1892">
        <v>5.6</v>
      </c>
      <c r="N1892">
        <v>150</v>
      </c>
      <c r="O1892">
        <v>2.5</v>
      </c>
      <c r="S1892">
        <v>2</v>
      </c>
      <c r="T1892">
        <v>4</v>
      </c>
      <c r="V1892">
        <v>124</v>
      </c>
      <c r="W1892">
        <v>8191</v>
      </c>
      <c r="X1892">
        <v>40</v>
      </c>
      <c r="Y1892" t="s">
        <v>2654</v>
      </c>
    </row>
    <row r="1893" spans="1:25">
      <c r="A1893" t="s">
        <v>2928</v>
      </c>
      <c r="B1893" s="2" t="str">
        <f>Hyperlink("https://www.diodes.com/datasheet/download/DMTH8004LPS.pdf")</f>
        <v>https://www.diodes.com/datasheet/download/DMTH8004LPS.pdf</v>
      </c>
      <c r="C1893" t="str">
        <f>Hyperlink("https://www.diodes.com/part/view/DMTH8004LPS","DMTH8004LPS")</f>
        <v>DMTH8004LPS</v>
      </c>
      <c r="D1893" t="s">
        <v>2929</v>
      </c>
      <c r="E1893" t="s">
        <v>30</v>
      </c>
      <c r="F1893" t="s">
        <v>28</v>
      </c>
      <c r="G1893" t="s">
        <v>29</v>
      </c>
      <c r="H1893" t="s">
        <v>30</v>
      </c>
      <c r="I1893">
        <v>80</v>
      </c>
      <c r="J1893">
        <v>20</v>
      </c>
      <c r="L1893">
        <v>100</v>
      </c>
      <c r="M1893">
        <v>2.9</v>
      </c>
      <c r="N1893">
        <v>125</v>
      </c>
      <c r="O1893">
        <v>3.8</v>
      </c>
      <c r="P1893">
        <v>5.3</v>
      </c>
      <c r="T1893">
        <v>2.8</v>
      </c>
      <c r="U1893">
        <v>43</v>
      </c>
      <c r="V1893">
        <v>81</v>
      </c>
      <c r="W1893">
        <v>4979</v>
      </c>
      <c r="X1893">
        <v>40</v>
      </c>
      <c r="Y1893" t="s">
        <v>907</v>
      </c>
    </row>
    <row r="1894" spans="1:25">
      <c r="A1894" t="s">
        <v>2930</v>
      </c>
      <c r="B1894" s="2" t="str">
        <f>Hyperlink("https://www.diodes.com/datasheet/download/DMTH8004LPSW.pdf")</f>
        <v>https://www.diodes.com/datasheet/download/DMTH8004LPSW.pdf</v>
      </c>
      <c r="C1894" t="str">
        <f>Hyperlink("https://www.diodes.com/part/view/DMTH8004LPSW","DMTH8004LPSW")</f>
        <v>DMTH8004LPSW</v>
      </c>
      <c r="D1894" t="s">
        <v>2922</v>
      </c>
      <c r="E1894" t="s">
        <v>30</v>
      </c>
      <c r="F1894" t="s">
        <v>28</v>
      </c>
      <c r="G1894" t="s">
        <v>29</v>
      </c>
      <c r="H1894" t="s">
        <v>30</v>
      </c>
      <c r="I1894">
        <v>80</v>
      </c>
      <c r="J1894">
        <v>20</v>
      </c>
      <c r="L1894">
        <v>100</v>
      </c>
      <c r="M1894">
        <v>2.9</v>
      </c>
      <c r="N1894">
        <v>125</v>
      </c>
      <c r="O1894">
        <v>3.8</v>
      </c>
      <c r="P1894">
        <v>5.3</v>
      </c>
      <c r="S1894">
        <v>1.3</v>
      </c>
      <c r="T1894">
        <v>2.8</v>
      </c>
      <c r="U1894">
        <v>43</v>
      </c>
      <c r="V1894">
        <v>81</v>
      </c>
      <c r="W1894">
        <v>4979</v>
      </c>
      <c r="X1894">
        <v>40</v>
      </c>
      <c r="Y1894" t="s">
        <v>1546</v>
      </c>
    </row>
    <row r="1895" spans="1:25">
      <c r="A1895" t="s">
        <v>2931</v>
      </c>
      <c r="B1895" s="2" t="str">
        <f>Hyperlink("https://www.diodes.com/datasheet/download/DMTH8008LFG.pdf")</f>
        <v>https://www.diodes.com/datasheet/download/DMTH8008LFG.pdf</v>
      </c>
      <c r="C1895" t="str">
        <f>Hyperlink("https://www.diodes.com/part/view/DMTH8008LFG","DMTH8008LFG")</f>
        <v>DMTH8008LFG</v>
      </c>
      <c r="D1895" t="s">
        <v>2919</v>
      </c>
      <c r="E1895" t="s">
        <v>27</v>
      </c>
      <c r="F1895" t="s">
        <v>28</v>
      </c>
      <c r="G1895" t="s">
        <v>29</v>
      </c>
      <c r="H1895" t="s">
        <v>30</v>
      </c>
      <c r="I1895">
        <v>80</v>
      </c>
      <c r="J1895">
        <v>20</v>
      </c>
      <c r="K1895">
        <v>17</v>
      </c>
      <c r="L1895">
        <v>70</v>
      </c>
      <c r="M1895">
        <v>2.8</v>
      </c>
      <c r="N1895">
        <v>50</v>
      </c>
      <c r="O1895">
        <v>6.9</v>
      </c>
      <c r="P1895">
        <v>10.4</v>
      </c>
      <c r="T1895">
        <v>2.5</v>
      </c>
      <c r="U1895">
        <v>18.3</v>
      </c>
      <c r="V1895">
        <v>37.7</v>
      </c>
      <c r="W1895">
        <v>2254</v>
      </c>
      <c r="X1895">
        <v>40</v>
      </c>
      <c r="Y1895" t="s">
        <v>718</v>
      </c>
    </row>
    <row r="1896" spans="1:25">
      <c r="A1896" t="s">
        <v>2932</v>
      </c>
      <c r="B1896" s="2" t="str">
        <f>Hyperlink("https://www.diodes.com/datasheet/download/DMTH8008LFGQ.pdf")</f>
        <v>https://www.diodes.com/datasheet/download/DMTH8008LFGQ.pdf</v>
      </c>
      <c r="C1896" t="str">
        <f>Hyperlink("https://www.diodes.com/part/view/DMTH8008LFGQ","DMTH8008LFGQ")</f>
        <v>DMTH8008LFGQ</v>
      </c>
      <c r="D1896" t="s">
        <v>2919</v>
      </c>
      <c r="E1896" t="s">
        <v>27</v>
      </c>
      <c r="F1896" t="s">
        <v>37</v>
      </c>
      <c r="G1896" t="s">
        <v>29</v>
      </c>
      <c r="H1896" t="s">
        <v>30</v>
      </c>
      <c r="I1896">
        <v>80</v>
      </c>
      <c r="J1896">
        <v>20</v>
      </c>
      <c r="K1896">
        <v>17</v>
      </c>
      <c r="L1896">
        <v>70</v>
      </c>
      <c r="M1896">
        <v>2.8</v>
      </c>
      <c r="N1896">
        <v>50</v>
      </c>
      <c r="O1896">
        <v>6.9</v>
      </c>
      <c r="P1896">
        <v>10.4</v>
      </c>
      <c r="T1896">
        <v>2.5</v>
      </c>
      <c r="U1896">
        <v>18.3</v>
      </c>
      <c r="V1896">
        <v>37.7</v>
      </c>
      <c r="W1896">
        <v>2254</v>
      </c>
      <c r="X1896">
        <v>40</v>
      </c>
      <c r="Y1896" t="s">
        <v>718</v>
      </c>
    </row>
    <row r="1897" spans="1:25">
      <c r="A1897" t="s">
        <v>2933</v>
      </c>
      <c r="B1897" s="2" t="str">
        <f>Hyperlink("https://www.diodes.com/datasheet/download/DMTH8008LPS.pdf")</f>
        <v>https://www.diodes.com/datasheet/download/DMTH8008LPS.pdf</v>
      </c>
      <c r="C1897" t="str">
        <f>Hyperlink("https://www.diodes.com/part/view/DMTH8008LPS","DMTH8008LPS")</f>
        <v>DMTH8008LPS</v>
      </c>
      <c r="D1897" t="s">
        <v>2929</v>
      </c>
      <c r="E1897" t="s">
        <v>27</v>
      </c>
      <c r="F1897" t="s">
        <v>28</v>
      </c>
      <c r="G1897" t="s">
        <v>29</v>
      </c>
      <c r="H1897" t="s">
        <v>30</v>
      </c>
      <c r="I1897">
        <v>80</v>
      </c>
      <c r="J1897">
        <v>20</v>
      </c>
      <c r="L1897">
        <v>91</v>
      </c>
      <c r="M1897">
        <v>3</v>
      </c>
      <c r="N1897">
        <v>100</v>
      </c>
      <c r="O1897">
        <v>7.8</v>
      </c>
      <c r="P1897">
        <v>11</v>
      </c>
      <c r="T1897">
        <v>2.8</v>
      </c>
      <c r="U1897">
        <v>21.7</v>
      </c>
      <c r="V1897">
        <v>41.2</v>
      </c>
      <c r="W1897">
        <v>2345</v>
      </c>
      <c r="X1897">
        <v>40</v>
      </c>
      <c r="Y1897" t="s">
        <v>907</v>
      </c>
    </row>
    <row r="1898" spans="1:25">
      <c r="A1898" t="s">
        <v>2934</v>
      </c>
      <c r="B1898" s="2" t="str">
        <f>Hyperlink("https://www.diodes.com/datasheet/download/DMTH8008LPSQ.pdf")</f>
        <v>https://www.diodes.com/datasheet/download/DMTH8008LPSQ.pdf</v>
      </c>
      <c r="C1898" t="str">
        <f>Hyperlink("https://www.diodes.com/part/view/DMTH8008LPSQ","DMTH8008LPSQ")</f>
        <v>DMTH8008LPSQ</v>
      </c>
      <c r="D1898" t="s">
        <v>2929</v>
      </c>
      <c r="E1898" t="s">
        <v>27</v>
      </c>
      <c r="F1898" t="s">
        <v>37</v>
      </c>
      <c r="G1898" t="s">
        <v>29</v>
      </c>
      <c r="H1898" t="s">
        <v>30</v>
      </c>
      <c r="I1898">
        <v>80</v>
      </c>
      <c r="J1898">
        <v>20</v>
      </c>
      <c r="L1898">
        <v>91</v>
      </c>
      <c r="M1898">
        <v>3.4</v>
      </c>
      <c r="N1898">
        <v>100</v>
      </c>
      <c r="O1898">
        <v>7.8</v>
      </c>
      <c r="P1898">
        <v>11</v>
      </c>
      <c r="T1898">
        <v>2.8</v>
      </c>
      <c r="U1898">
        <v>21.7</v>
      </c>
      <c r="V1898">
        <v>41.2</v>
      </c>
      <c r="W1898">
        <v>2345</v>
      </c>
      <c r="X1898">
        <v>40</v>
      </c>
      <c r="Y1898" t="s">
        <v>907</v>
      </c>
    </row>
    <row r="1899" spans="1:25">
      <c r="A1899" t="s">
        <v>2935</v>
      </c>
      <c r="B1899" s="2" t="str">
        <f>Hyperlink("https://www.diodes.com/datasheet/download/DMTH8008LPSWQ.pdf")</f>
        <v>https://www.diodes.com/datasheet/download/DMTH8008LPSWQ.pdf</v>
      </c>
      <c r="C1899" t="str">
        <f>Hyperlink("https://www.diodes.com/part/view/DMTH8008LPSWQ","DMTH8008LPSWQ")</f>
        <v>DMTH8008LPSWQ</v>
      </c>
      <c r="D1899" t="s">
        <v>2922</v>
      </c>
      <c r="E1899" t="s">
        <v>27</v>
      </c>
      <c r="F1899" t="s">
        <v>37</v>
      </c>
      <c r="G1899" t="s">
        <v>29</v>
      </c>
      <c r="H1899" t="s">
        <v>30</v>
      </c>
      <c r="I1899">
        <v>80</v>
      </c>
      <c r="J1899">
        <v>20</v>
      </c>
      <c r="L1899">
        <v>91</v>
      </c>
      <c r="M1899">
        <v>3.4</v>
      </c>
      <c r="N1899">
        <v>100</v>
      </c>
      <c r="O1899">
        <v>7.8</v>
      </c>
      <c r="S1899">
        <v>1.3</v>
      </c>
      <c r="T1899">
        <v>2.8</v>
      </c>
      <c r="V1899">
        <v>41.2</v>
      </c>
      <c r="W1899">
        <v>2345</v>
      </c>
      <c r="X1899">
        <v>40</v>
      </c>
      <c r="Y1899" t="s">
        <v>1546</v>
      </c>
    </row>
    <row r="1900" spans="1:25">
      <c r="A1900" t="s">
        <v>2936</v>
      </c>
      <c r="B1900" s="2" t="str">
        <f>Hyperlink("https://www.diodes.com/datasheet/download/DMTH8008SFG.pdf")</f>
        <v>https://www.diodes.com/datasheet/download/DMTH8008SFG.pdf</v>
      </c>
      <c r="C1900" t="str">
        <f>Hyperlink("https://www.diodes.com/part/view/DMTH8008SFG","DMTH8008SFG")</f>
        <v>DMTH8008SFG</v>
      </c>
      <c r="D1900" t="s">
        <v>2919</v>
      </c>
      <c r="E1900" t="s">
        <v>27</v>
      </c>
      <c r="F1900" t="s">
        <v>28</v>
      </c>
      <c r="G1900" t="s">
        <v>29</v>
      </c>
      <c r="H1900" t="s">
        <v>30</v>
      </c>
      <c r="I1900">
        <v>80</v>
      </c>
      <c r="J1900">
        <v>20</v>
      </c>
      <c r="K1900">
        <v>17</v>
      </c>
      <c r="L1900">
        <v>68</v>
      </c>
      <c r="M1900">
        <v>3.2</v>
      </c>
      <c r="N1900">
        <v>50</v>
      </c>
      <c r="O1900">
        <v>7</v>
      </c>
      <c r="P1900" t="s">
        <v>2937</v>
      </c>
      <c r="T1900">
        <v>4</v>
      </c>
      <c r="V1900">
        <v>31.7</v>
      </c>
      <c r="W1900">
        <v>1945</v>
      </c>
      <c r="X1900">
        <v>40</v>
      </c>
      <c r="Y1900" t="s">
        <v>718</v>
      </c>
    </row>
    <row r="1901" spans="1:25">
      <c r="A1901" t="s">
        <v>2938</v>
      </c>
      <c r="B1901" s="2" t="str">
        <f>Hyperlink("https://www.diodes.com/datasheet/download/DMTH8008SFGQ.pdf")</f>
        <v>https://www.diodes.com/datasheet/download/DMTH8008SFGQ.pdf</v>
      </c>
      <c r="C1901" t="str">
        <f>Hyperlink("https://www.diodes.com/part/view/DMTH8008SFGQ","DMTH8008SFGQ")</f>
        <v>DMTH8008SFGQ</v>
      </c>
      <c r="D1901" t="s">
        <v>2919</v>
      </c>
      <c r="E1901" t="s">
        <v>27</v>
      </c>
      <c r="F1901" t="s">
        <v>37</v>
      </c>
      <c r="G1901" t="s">
        <v>29</v>
      </c>
      <c r="H1901" t="s">
        <v>30</v>
      </c>
      <c r="I1901">
        <v>80</v>
      </c>
      <c r="J1901">
        <v>20</v>
      </c>
      <c r="K1901">
        <v>17</v>
      </c>
      <c r="L1901">
        <v>68</v>
      </c>
      <c r="M1901">
        <v>3.2</v>
      </c>
      <c r="N1901">
        <v>50</v>
      </c>
      <c r="O1901">
        <v>7</v>
      </c>
      <c r="T1901">
        <v>4</v>
      </c>
      <c r="V1901">
        <v>31.7</v>
      </c>
      <c r="W1901">
        <v>1945</v>
      </c>
      <c r="X1901">
        <v>40</v>
      </c>
      <c r="Y1901" t="s">
        <v>718</v>
      </c>
    </row>
    <row r="1902" spans="1:25">
      <c r="A1902" t="s">
        <v>2939</v>
      </c>
      <c r="B1902" s="2" t="str">
        <f>Hyperlink("https://www.diodes.com/datasheet/download/DMTH8008SPS.pdf")</f>
        <v>https://www.diodes.com/datasheet/download/DMTH8008SPS.pdf</v>
      </c>
      <c r="C1902" t="str">
        <f>Hyperlink("https://www.diodes.com/part/view/DMTH8008SPS","DMTH8008SPS")</f>
        <v>DMTH8008SPS</v>
      </c>
      <c r="D1902" t="s">
        <v>2929</v>
      </c>
      <c r="E1902" t="s">
        <v>30</v>
      </c>
      <c r="F1902" t="s">
        <v>28</v>
      </c>
      <c r="G1902" t="s">
        <v>29</v>
      </c>
      <c r="H1902" t="s">
        <v>30</v>
      </c>
      <c r="I1902">
        <v>80</v>
      </c>
      <c r="J1902">
        <v>20</v>
      </c>
      <c r="L1902">
        <v>92</v>
      </c>
      <c r="M1902">
        <v>3.4</v>
      </c>
      <c r="N1902">
        <v>100</v>
      </c>
      <c r="O1902">
        <v>7.8</v>
      </c>
      <c r="P1902" t="s">
        <v>2579</v>
      </c>
      <c r="T1902">
        <v>4</v>
      </c>
      <c r="U1902" t="s">
        <v>2580</v>
      </c>
      <c r="V1902">
        <v>34</v>
      </c>
      <c r="W1902">
        <v>1950</v>
      </c>
      <c r="X1902">
        <v>40</v>
      </c>
      <c r="Y1902" t="s">
        <v>2029</v>
      </c>
    </row>
    <row r="1903" spans="1:25">
      <c r="A1903" t="s">
        <v>2940</v>
      </c>
      <c r="B1903" s="2" t="str">
        <f>Hyperlink("https://www.diodes.com/datasheet/download/DMTH8008SPSQ.pdf")</f>
        <v>https://www.diodes.com/datasheet/download/DMTH8008SPSQ.pdf</v>
      </c>
      <c r="C1903" t="str">
        <f>Hyperlink("https://www.diodes.com/part/view/DMTH8008SPSQ","DMTH8008SPSQ")</f>
        <v>DMTH8008SPSQ</v>
      </c>
      <c r="D1903" t="s">
        <v>2929</v>
      </c>
      <c r="E1903" t="s">
        <v>27</v>
      </c>
      <c r="F1903" t="s">
        <v>37</v>
      </c>
      <c r="G1903" t="s">
        <v>29</v>
      </c>
      <c r="H1903" t="s">
        <v>30</v>
      </c>
      <c r="I1903">
        <v>80</v>
      </c>
      <c r="J1903">
        <v>20</v>
      </c>
      <c r="L1903">
        <v>92</v>
      </c>
      <c r="M1903">
        <v>3.4</v>
      </c>
      <c r="N1903">
        <v>100</v>
      </c>
      <c r="O1903">
        <v>7.8</v>
      </c>
      <c r="P1903" t="s">
        <v>2579</v>
      </c>
      <c r="T1903">
        <v>4</v>
      </c>
      <c r="U1903" t="s">
        <v>2580</v>
      </c>
      <c r="V1903">
        <v>34</v>
      </c>
      <c r="W1903">
        <v>1950</v>
      </c>
      <c r="X1903">
        <v>40</v>
      </c>
      <c r="Y1903" t="s">
        <v>907</v>
      </c>
    </row>
    <row r="1904" spans="1:25">
      <c r="A1904" t="s">
        <v>2941</v>
      </c>
      <c r="B1904" s="2" t="str">
        <f>Hyperlink("https://www.diodes.com/datasheet/download/DMTH8008SPSWQ.pdf")</f>
        <v>https://www.diodes.com/datasheet/download/DMTH8008SPSWQ.pdf</v>
      </c>
      <c r="C1904" t="str">
        <f>Hyperlink("https://www.diodes.com/part/view/DMTH8008SPSWQ","DMTH8008SPSWQ")</f>
        <v>DMTH8008SPSWQ</v>
      </c>
      <c r="D1904" t="s">
        <v>2922</v>
      </c>
      <c r="E1904" t="s">
        <v>27</v>
      </c>
      <c r="F1904" t="s">
        <v>37</v>
      </c>
      <c r="G1904" t="s">
        <v>29</v>
      </c>
      <c r="H1904" t="s">
        <v>30</v>
      </c>
      <c r="I1904">
        <v>80</v>
      </c>
      <c r="J1904">
        <v>20</v>
      </c>
      <c r="L1904">
        <v>92</v>
      </c>
      <c r="M1904">
        <v>3.4</v>
      </c>
      <c r="N1904">
        <v>100</v>
      </c>
      <c r="O1904">
        <v>7.8</v>
      </c>
      <c r="S1904">
        <v>2</v>
      </c>
      <c r="T1904">
        <v>4</v>
      </c>
      <c r="V1904">
        <v>34</v>
      </c>
      <c r="W1904">
        <v>1950</v>
      </c>
      <c r="X1904">
        <v>40</v>
      </c>
      <c r="Y1904" t="s">
        <v>1546</v>
      </c>
    </row>
    <row r="1905" spans="1:25">
      <c r="A1905" t="s">
        <v>2942</v>
      </c>
      <c r="B1905" s="2" t="str">
        <f>Hyperlink("https://www.diodes.com/datasheet/download/DMTH8012LK3.pdf")</f>
        <v>https://www.diodes.com/datasheet/download/DMTH8012LK3.pdf</v>
      </c>
      <c r="C1905" t="str">
        <f>Hyperlink("https://www.diodes.com/part/view/DMTH8012LK3","DMTH8012LK3")</f>
        <v>DMTH8012LK3</v>
      </c>
      <c r="D1905" t="s">
        <v>26</v>
      </c>
      <c r="E1905" t="s">
        <v>27</v>
      </c>
      <c r="F1905" t="s">
        <v>28</v>
      </c>
      <c r="G1905" t="s">
        <v>29</v>
      </c>
      <c r="H1905" t="s">
        <v>30</v>
      </c>
      <c r="I1905">
        <v>80</v>
      </c>
      <c r="J1905">
        <v>20</v>
      </c>
      <c r="L1905">
        <v>50</v>
      </c>
      <c r="M1905">
        <v>2.6</v>
      </c>
      <c r="N1905">
        <v>60</v>
      </c>
      <c r="O1905">
        <v>16</v>
      </c>
      <c r="P1905">
        <v>21</v>
      </c>
      <c r="T1905">
        <v>3</v>
      </c>
      <c r="U1905">
        <v>15</v>
      </c>
      <c r="V1905">
        <v>34</v>
      </c>
      <c r="W1905">
        <v>1949</v>
      </c>
      <c r="X1905">
        <v>40</v>
      </c>
      <c r="Y1905" t="s">
        <v>681</v>
      </c>
    </row>
    <row r="1906" spans="1:25">
      <c r="A1906" t="s">
        <v>2943</v>
      </c>
      <c r="B1906" s="2" t="str">
        <f>Hyperlink("https://www.diodes.com/datasheet/download/DMTH8012LK3Q.pdf")</f>
        <v>https://www.diodes.com/datasheet/download/DMTH8012LK3Q.pdf</v>
      </c>
      <c r="C1906" t="str">
        <f>Hyperlink("https://www.diodes.com/part/view/DMTH8012LK3Q","DMTH8012LK3Q")</f>
        <v>DMTH8012LK3Q</v>
      </c>
      <c r="D1906" t="s">
        <v>2929</v>
      </c>
      <c r="E1906" t="s">
        <v>27</v>
      </c>
      <c r="F1906" t="s">
        <v>37</v>
      </c>
      <c r="G1906" t="s">
        <v>29</v>
      </c>
      <c r="H1906" t="s">
        <v>30</v>
      </c>
      <c r="I1906">
        <v>80</v>
      </c>
      <c r="J1906">
        <v>20</v>
      </c>
      <c r="L1906">
        <v>50</v>
      </c>
      <c r="M1906">
        <v>2.6</v>
      </c>
      <c r="N1906">
        <v>60</v>
      </c>
      <c r="O1906">
        <v>16</v>
      </c>
      <c r="P1906">
        <v>21</v>
      </c>
      <c r="T1906">
        <v>3</v>
      </c>
      <c r="U1906">
        <v>24.1</v>
      </c>
      <c r="V1906">
        <v>46.8</v>
      </c>
      <c r="W1906">
        <v>2051</v>
      </c>
      <c r="X1906">
        <v>40</v>
      </c>
      <c r="Y1906" t="s">
        <v>681</v>
      </c>
    </row>
    <row r="1907" spans="1:25">
      <c r="A1907" t="s">
        <v>2944</v>
      </c>
      <c r="B1907" s="2" t="str">
        <f>Hyperlink("https://www.diodes.com/datasheet/download/DMTH8012LPS.pdf")</f>
        <v>https://www.diodes.com/datasheet/download/DMTH8012LPS.pdf</v>
      </c>
      <c r="C1907" t="str">
        <f>Hyperlink("https://www.diodes.com/part/view/DMTH8012LPS","DMTH8012LPS")</f>
        <v>DMTH8012LPS</v>
      </c>
      <c r="D1907" t="s">
        <v>26</v>
      </c>
      <c r="E1907" t="s">
        <v>27</v>
      </c>
      <c r="F1907" t="s">
        <v>28</v>
      </c>
      <c r="G1907" t="s">
        <v>29</v>
      </c>
      <c r="H1907" t="s">
        <v>30</v>
      </c>
      <c r="I1907">
        <v>80</v>
      </c>
      <c r="J1907">
        <v>20</v>
      </c>
      <c r="K1907">
        <v>8</v>
      </c>
      <c r="L1907">
        <v>50</v>
      </c>
      <c r="M1907">
        <v>2.6</v>
      </c>
      <c r="N1907">
        <v>100</v>
      </c>
      <c r="O1907">
        <v>17</v>
      </c>
      <c r="P1907">
        <v>21</v>
      </c>
      <c r="T1907">
        <v>3</v>
      </c>
      <c r="U1907">
        <v>15</v>
      </c>
      <c r="V1907">
        <v>34</v>
      </c>
      <c r="W1907">
        <v>1949</v>
      </c>
      <c r="X1907">
        <v>40</v>
      </c>
      <c r="Y1907" t="s">
        <v>907</v>
      </c>
    </row>
    <row r="1908" spans="1:25">
      <c r="A1908" t="s">
        <v>2945</v>
      </c>
      <c r="B1908" s="2" t="str">
        <f>Hyperlink("https://www.diodes.com/datasheet/download/DMTH8012LPSQ.pdf")</f>
        <v>https://www.diodes.com/datasheet/download/DMTH8012LPSQ.pdf</v>
      </c>
      <c r="C1908" t="str">
        <f>Hyperlink("https://www.diodes.com/part/view/DMTH8012LPSQ","DMTH8012LPSQ")</f>
        <v>DMTH8012LPSQ</v>
      </c>
      <c r="D1908" t="s">
        <v>2929</v>
      </c>
      <c r="E1908" t="s">
        <v>27</v>
      </c>
      <c r="F1908" t="s">
        <v>37</v>
      </c>
      <c r="G1908" t="s">
        <v>29</v>
      </c>
      <c r="H1908" t="s">
        <v>30</v>
      </c>
      <c r="I1908">
        <v>80</v>
      </c>
      <c r="J1908">
        <v>20</v>
      </c>
      <c r="K1908">
        <v>8</v>
      </c>
      <c r="L1908">
        <v>50</v>
      </c>
      <c r="M1908">
        <v>2.6</v>
      </c>
      <c r="N1908">
        <v>100</v>
      </c>
      <c r="O1908">
        <v>17</v>
      </c>
      <c r="P1908">
        <v>21</v>
      </c>
      <c r="T1908">
        <v>3</v>
      </c>
      <c r="U1908">
        <v>24.1</v>
      </c>
      <c r="V1908">
        <v>46.8</v>
      </c>
      <c r="W1908">
        <v>2051</v>
      </c>
      <c r="X1908">
        <v>40</v>
      </c>
      <c r="Y1908" t="s">
        <v>907</v>
      </c>
    </row>
    <row r="1909" spans="1:25">
      <c r="A1909" t="s">
        <v>2946</v>
      </c>
      <c r="B1909" s="2" t="str">
        <f>Hyperlink("https://www.diodes.com/datasheet/download/DMTH8012LPSW.pdf")</f>
        <v>https://www.diodes.com/datasheet/download/DMTH8012LPSW.pdf</v>
      </c>
      <c r="C1909" t="str">
        <f>Hyperlink("https://www.diodes.com/part/view/DMTH8012LPSW","DMTH8012LPSW")</f>
        <v>DMTH8012LPSW</v>
      </c>
      <c r="D1909" t="s">
        <v>2947</v>
      </c>
      <c r="E1909" t="s">
        <v>27</v>
      </c>
      <c r="F1909" t="s">
        <v>28</v>
      </c>
      <c r="G1909" t="s">
        <v>29</v>
      </c>
      <c r="H1909" t="s">
        <v>30</v>
      </c>
      <c r="I1909">
        <v>80</v>
      </c>
      <c r="J1909">
        <v>20</v>
      </c>
      <c r="K1909">
        <v>10.3</v>
      </c>
      <c r="L1909">
        <v>53.7</v>
      </c>
      <c r="M1909">
        <v>3.1</v>
      </c>
      <c r="N1909">
        <v>83.3</v>
      </c>
      <c r="O1909">
        <v>17</v>
      </c>
      <c r="P1909">
        <v>23.5</v>
      </c>
      <c r="T1909">
        <v>3</v>
      </c>
      <c r="U1909">
        <v>15</v>
      </c>
      <c r="V1909">
        <v>34</v>
      </c>
      <c r="W1909">
        <v>1949</v>
      </c>
      <c r="X1909">
        <v>40</v>
      </c>
      <c r="Y1909" t="s">
        <v>1847</v>
      </c>
    </row>
    <row r="1910" spans="1:25">
      <c r="A1910" t="s">
        <v>2948</v>
      </c>
      <c r="B1910" s="2" t="str">
        <f>Hyperlink("https://www.diodes.com/datasheet/download/DMTH8028LFVW.pdf")</f>
        <v>https://www.diodes.com/datasheet/download/DMTH8028LFVW.pdf</v>
      </c>
      <c r="C1910" t="str">
        <f>Hyperlink("https://www.diodes.com/part/view/DMTH8028LFVW","DMTH8028LFVW")</f>
        <v>DMTH8028LFVW</v>
      </c>
      <c r="D1910" t="s">
        <v>2949</v>
      </c>
      <c r="E1910" t="s">
        <v>27</v>
      </c>
      <c r="F1910" t="s">
        <v>28</v>
      </c>
      <c r="G1910" t="s">
        <v>29</v>
      </c>
      <c r="H1910" t="s">
        <v>30</v>
      </c>
      <c r="I1910">
        <v>80</v>
      </c>
      <c r="J1910">
        <v>20</v>
      </c>
      <c r="L1910">
        <v>27</v>
      </c>
      <c r="M1910">
        <v>3.5</v>
      </c>
      <c r="O1910">
        <v>25</v>
      </c>
      <c r="P1910">
        <v>41</v>
      </c>
      <c r="S1910">
        <v>1.3</v>
      </c>
      <c r="T1910">
        <v>2.5</v>
      </c>
      <c r="U1910">
        <v>5.4</v>
      </c>
      <c r="V1910">
        <v>10.4</v>
      </c>
      <c r="W1910">
        <v>631</v>
      </c>
      <c r="X1910">
        <v>40</v>
      </c>
      <c r="Y1910" t="s">
        <v>1109</v>
      </c>
    </row>
    <row r="1911" spans="1:25">
      <c r="A1911" t="s">
        <v>2950</v>
      </c>
      <c r="B1911" s="2" t="str">
        <f>Hyperlink("https://www.diodes.com/datasheet/download/DMTH8028LFVWQ.pdf")</f>
        <v>https://www.diodes.com/datasheet/download/DMTH8028LFVWQ.pdf</v>
      </c>
      <c r="C1911" t="str">
        <f>Hyperlink("https://www.diodes.com/part/view/DMTH8028LFVWQ","DMTH8028LFVWQ")</f>
        <v>DMTH8028LFVWQ</v>
      </c>
      <c r="D1911" t="s">
        <v>2949</v>
      </c>
      <c r="E1911" t="s">
        <v>27</v>
      </c>
      <c r="F1911" t="s">
        <v>37</v>
      </c>
      <c r="G1911" t="s">
        <v>29</v>
      </c>
      <c r="H1911" t="s">
        <v>30</v>
      </c>
      <c r="I1911">
        <v>80</v>
      </c>
      <c r="J1911">
        <v>20</v>
      </c>
      <c r="L1911">
        <v>27</v>
      </c>
      <c r="M1911">
        <v>3.5</v>
      </c>
      <c r="O1911">
        <v>25</v>
      </c>
      <c r="P1911">
        <v>41</v>
      </c>
      <c r="S1911">
        <v>1.3</v>
      </c>
      <c r="T1911">
        <v>2.5</v>
      </c>
      <c r="U1911">
        <v>5.4</v>
      </c>
      <c r="V1911">
        <v>10.4</v>
      </c>
      <c r="W1911">
        <v>631</v>
      </c>
      <c r="X1911">
        <v>40</v>
      </c>
      <c r="Y1911" t="s">
        <v>1109</v>
      </c>
    </row>
    <row r="1912" spans="1:25">
      <c r="A1912" t="s">
        <v>2951</v>
      </c>
      <c r="B1912" s="2" t="str">
        <f>Hyperlink("https://www.diodes.com/datasheet/download/DMTH8028LPSW.pdf")</f>
        <v>https://www.diodes.com/datasheet/download/DMTH8028LPSW.pdf</v>
      </c>
      <c r="C1912" t="str">
        <f>Hyperlink("https://www.diodes.com/part/view/DMTH8028LPSW","DMTH8028LPSW")</f>
        <v>DMTH8028LPSW</v>
      </c>
      <c r="D1912" t="s">
        <v>2929</v>
      </c>
      <c r="E1912" t="s">
        <v>30</v>
      </c>
      <c r="F1912" t="s">
        <v>28</v>
      </c>
      <c r="G1912" t="s">
        <v>29</v>
      </c>
      <c r="H1912" t="s">
        <v>30</v>
      </c>
      <c r="I1912">
        <v>80</v>
      </c>
      <c r="J1912">
        <v>20</v>
      </c>
      <c r="L1912">
        <v>41.7</v>
      </c>
      <c r="M1912">
        <v>3.9</v>
      </c>
      <c r="N1912">
        <v>41.7</v>
      </c>
      <c r="O1912">
        <v>25</v>
      </c>
      <c r="P1912">
        <v>41</v>
      </c>
      <c r="T1912">
        <v>2.5</v>
      </c>
      <c r="U1912">
        <v>5.4</v>
      </c>
      <c r="V1912">
        <v>10.4</v>
      </c>
      <c r="W1912">
        <v>641</v>
      </c>
      <c r="X1912">
        <v>25</v>
      </c>
      <c r="Y1912" t="s">
        <v>1546</v>
      </c>
    </row>
    <row r="1913" spans="1:25">
      <c r="A1913" t="s">
        <v>2952</v>
      </c>
      <c r="B1913" s="2" t="str">
        <f>Hyperlink("https://www.diodes.com/datasheet/download/DMTH8028LPSWQ.pdf")</f>
        <v>https://www.diodes.com/datasheet/download/DMTH8028LPSWQ.pdf</v>
      </c>
      <c r="C1913" t="str">
        <f>Hyperlink("https://www.diodes.com/part/view/DMTH8028LPSWQ","DMTH8028LPSWQ")</f>
        <v>DMTH8028LPSWQ</v>
      </c>
      <c r="D1913" t="s">
        <v>2929</v>
      </c>
      <c r="E1913" t="s">
        <v>27</v>
      </c>
      <c r="F1913" t="s">
        <v>37</v>
      </c>
      <c r="G1913" t="s">
        <v>29</v>
      </c>
      <c r="H1913" t="s">
        <v>30</v>
      </c>
      <c r="I1913">
        <v>80</v>
      </c>
      <c r="J1913">
        <v>20</v>
      </c>
      <c r="L1913">
        <v>41.7</v>
      </c>
      <c r="M1913">
        <v>3.9</v>
      </c>
      <c r="N1913">
        <v>41.7</v>
      </c>
      <c r="O1913">
        <v>25</v>
      </c>
      <c r="P1913">
        <v>41</v>
      </c>
      <c r="T1913">
        <v>2.5</v>
      </c>
      <c r="U1913">
        <v>5.4</v>
      </c>
      <c r="V1913">
        <v>10.4</v>
      </c>
      <c r="W1913">
        <v>641</v>
      </c>
      <c r="X1913">
        <v>25</v>
      </c>
      <c r="Y1913" t="s">
        <v>1546</v>
      </c>
    </row>
    <row r="1914" spans="1:25">
      <c r="A1914" t="s">
        <v>2953</v>
      </c>
      <c r="B1914" s="2" t="str">
        <f>Hyperlink("https://www.diodes.com/datasheet/download/DMTH8030LFDFW.pdf")</f>
        <v>https://www.diodes.com/datasheet/download/DMTH8030LFDFW.pdf</v>
      </c>
      <c r="C1914" t="str">
        <f>Hyperlink("https://www.diodes.com/part/view/DMTH8030LFDFW","DMTH8030LFDFW")</f>
        <v>DMTH8030LFDFW</v>
      </c>
      <c r="D1914" t="s">
        <v>2925</v>
      </c>
      <c r="E1914" t="s">
        <v>30</v>
      </c>
      <c r="F1914" t="s">
        <v>28</v>
      </c>
      <c r="G1914" t="s">
        <v>29</v>
      </c>
      <c r="H1914" t="s">
        <v>30</v>
      </c>
      <c r="I1914">
        <v>80</v>
      </c>
      <c r="J1914">
        <v>20</v>
      </c>
      <c r="K1914">
        <v>6.5</v>
      </c>
      <c r="M1914">
        <v>2.1</v>
      </c>
      <c r="O1914">
        <v>25</v>
      </c>
      <c r="P1914">
        <v>38</v>
      </c>
      <c r="S1914">
        <v>1.2</v>
      </c>
      <c r="T1914">
        <v>2.5</v>
      </c>
      <c r="U1914">
        <v>5.4</v>
      </c>
      <c r="V1914">
        <v>10.4</v>
      </c>
      <c r="W1914">
        <v>641</v>
      </c>
      <c r="X1914">
        <v>25</v>
      </c>
      <c r="Y1914" t="s">
        <v>2420</v>
      </c>
    </row>
    <row r="1915" spans="1:25">
      <c r="A1915" t="s">
        <v>2954</v>
      </c>
      <c r="B1915" s="2" t="str">
        <f>Hyperlink("https://www.diodes.com/datasheet/download/DMTH8030LFDFWQ.pdf")</f>
        <v>https://www.diodes.com/datasheet/download/DMTH8030LFDFWQ.pdf</v>
      </c>
      <c r="C1915" t="str">
        <f>Hyperlink("https://www.diodes.com/part/view/DMTH8030LFDFWQ","DMTH8030LFDFWQ")</f>
        <v>DMTH8030LFDFWQ</v>
      </c>
      <c r="D1915" t="s">
        <v>2925</v>
      </c>
      <c r="E1915" t="s">
        <v>27</v>
      </c>
      <c r="F1915" t="s">
        <v>37</v>
      </c>
      <c r="G1915" t="s">
        <v>29</v>
      </c>
      <c r="H1915" t="s">
        <v>30</v>
      </c>
      <c r="I1915">
        <v>80</v>
      </c>
      <c r="J1915">
        <v>20</v>
      </c>
      <c r="K1915">
        <v>6.5</v>
      </c>
      <c r="M1915">
        <v>2.1</v>
      </c>
      <c r="O1915">
        <v>25</v>
      </c>
      <c r="P1915">
        <v>38</v>
      </c>
      <c r="S1915">
        <v>1.2</v>
      </c>
      <c r="T1915">
        <v>2.5</v>
      </c>
      <c r="U1915">
        <v>5.4</v>
      </c>
      <c r="V1915">
        <v>10.4</v>
      </c>
      <c r="W1915">
        <v>641</v>
      </c>
      <c r="X1915">
        <v>25</v>
      </c>
      <c r="Y1915" t="s">
        <v>2420</v>
      </c>
    </row>
    <row r="1916" spans="1:25">
      <c r="A1916" t="s">
        <v>2955</v>
      </c>
      <c r="B1916" s="2" t="str">
        <f>Hyperlink("https://www.diodes.com/datasheet/download/DMTH8030LPDW.pdf")</f>
        <v>https://www.diodes.com/datasheet/download/DMTH8030LPDW.pdf</v>
      </c>
      <c r="C1916" t="str">
        <f>Hyperlink("https://www.diodes.com/part/view/DMTH8030LPDW","DMTH8030LPDW")</f>
        <v>DMTH8030LPDW</v>
      </c>
      <c r="D1916" t="s">
        <v>2956</v>
      </c>
      <c r="E1916" t="s">
        <v>27</v>
      </c>
      <c r="F1916" t="s">
        <v>28</v>
      </c>
      <c r="G1916" t="s">
        <v>40</v>
      </c>
      <c r="H1916" t="s">
        <v>30</v>
      </c>
      <c r="I1916">
        <v>80</v>
      </c>
      <c r="J1916">
        <v>20</v>
      </c>
      <c r="L1916">
        <v>28.5</v>
      </c>
      <c r="M1916">
        <v>3.1</v>
      </c>
      <c r="N1916">
        <v>41</v>
      </c>
      <c r="O1916">
        <v>26</v>
      </c>
      <c r="P1916">
        <v>45</v>
      </c>
      <c r="S1916">
        <v>1.3</v>
      </c>
      <c r="T1916">
        <v>2.5</v>
      </c>
      <c r="U1916">
        <v>5.4</v>
      </c>
      <c r="V1916">
        <v>10.4</v>
      </c>
      <c r="W1916">
        <v>631</v>
      </c>
      <c r="X1916">
        <v>40</v>
      </c>
      <c r="Y1916" t="s">
        <v>168</v>
      </c>
    </row>
    <row r="1917" spans="1:25">
      <c r="A1917" t="s">
        <v>2957</v>
      </c>
      <c r="B1917" s="2" t="str">
        <f>Hyperlink("https://www.diodes.com/datasheet/download/DMTH8030LPDWQ.pdf")</f>
        <v>https://www.diodes.com/datasheet/download/DMTH8030LPDWQ.pdf</v>
      </c>
      <c r="C1917" t="str">
        <f>Hyperlink("https://www.diodes.com/part/view/DMTH8030LPDWQ","DMTH8030LPDWQ")</f>
        <v>DMTH8030LPDWQ</v>
      </c>
      <c r="D1917" t="s">
        <v>2956</v>
      </c>
      <c r="E1917" t="s">
        <v>27</v>
      </c>
      <c r="F1917" t="s">
        <v>37</v>
      </c>
      <c r="G1917" t="s">
        <v>40</v>
      </c>
      <c r="H1917" t="s">
        <v>30</v>
      </c>
      <c r="I1917">
        <v>80</v>
      </c>
      <c r="J1917">
        <v>20</v>
      </c>
      <c r="L1917">
        <v>28.5</v>
      </c>
      <c r="M1917">
        <v>3.1</v>
      </c>
      <c r="N1917">
        <v>41</v>
      </c>
      <c r="O1917">
        <v>26</v>
      </c>
      <c r="P1917">
        <v>45</v>
      </c>
      <c r="S1917">
        <v>1.3</v>
      </c>
      <c r="T1917">
        <v>2.5</v>
      </c>
      <c r="U1917">
        <v>5.4</v>
      </c>
      <c r="V1917">
        <v>10.4</v>
      </c>
      <c r="W1917">
        <v>631</v>
      </c>
      <c r="X1917">
        <v>40</v>
      </c>
      <c r="Y1917" t="s">
        <v>168</v>
      </c>
    </row>
    <row r="1918" spans="1:25">
      <c r="A1918" t="s">
        <v>2958</v>
      </c>
      <c r="B1918" s="2" t="str">
        <f>Hyperlink("https://www.diodes.com/datasheet/download/DMTH83M2SPSW.pdf")</f>
        <v>https://www.diodes.com/datasheet/download/DMTH83M2SPSW.pdf</v>
      </c>
      <c r="C1918" t="str">
        <f>Hyperlink("https://www.diodes.com/part/view/DMTH83M2SPSW","DMTH83M2SPSW")</f>
        <v>DMTH83M2SPSW</v>
      </c>
      <c r="D1918" t="s">
        <v>2922</v>
      </c>
      <c r="E1918" t="s">
        <v>30</v>
      </c>
      <c r="F1918" t="s">
        <v>28</v>
      </c>
      <c r="G1918" t="s">
        <v>29</v>
      </c>
      <c r="H1918" t="s">
        <v>30</v>
      </c>
      <c r="I1918">
        <v>80</v>
      </c>
      <c r="J1918">
        <v>20</v>
      </c>
      <c r="L1918">
        <v>165</v>
      </c>
      <c r="M1918">
        <v>4.1</v>
      </c>
      <c r="N1918">
        <v>150</v>
      </c>
      <c r="O1918">
        <v>2.9</v>
      </c>
      <c r="S1918">
        <v>2</v>
      </c>
      <c r="T1918">
        <v>4</v>
      </c>
      <c r="V1918">
        <v>87</v>
      </c>
      <c r="W1918">
        <v>5466</v>
      </c>
      <c r="X1918">
        <v>40</v>
      </c>
      <c r="Y1918" t="s">
        <v>1546</v>
      </c>
    </row>
    <row r="1919" spans="1:25">
      <c r="A1919" t="s">
        <v>2959</v>
      </c>
      <c r="B1919" s="2" t="str">
        <f>Hyperlink("https://www.diodes.com/datasheet/download/DMTH83M2SPSWQ.pdf")</f>
        <v>https://www.diodes.com/datasheet/download/DMTH83M2SPSWQ.pdf</v>
      </c>
      <c r="C1919" t="str">
        <f>Hyperlink("https://www.diodes.com/part/view/DMTH83M2SPSWQ","DMTH83M2SPSWQ")</f>
        <v>DMTH83M2SPSWQ</v>
      </c>
      <c r="D1919" t="s">
        <v>2922</v>
      </c>
      <c r="E1919" t="s">
        <v>27</v>
      </c>
      <c r="F1919" t="s">
        <v>37</v>
      </c>
      <c r="G1919" t="s">
        <v>29</v>
      </c>
      <c r="H1919" t="s">
        <v>30</v>
      </c>
      <c r="I1919">
        <v>80</v>
      </c>
      <c r="J1919">
        <v>20</v>
      </c>
      <c r="L1919">
        <v>165</v>
      </c>
      <c r="M1919">
        <v>4.1</v>
      </c>
      <c r="N1919">
        <v>150</v>
      </c>
      <c r="O1919">
        <v>2.9</v>
      </c>
      <c r="S1919">
        <v>2</v>
      </c>
      <c r="T1919">
        <v>4</v>
      </c>
      <c r="V1919">
        <v>87</v>
      </c>
      <c r="W1919">
        <v>5466</v>
      </c>
      <c r="X1919">
        <v>40</v>
      </c>
      <c r="Y1919" t="s">
        <v>1546</v>
      </c>
    </row>
    <row r="1920" spans="1:25">
      <c r="A1920" t="s">
        <v>2960</v>
      </c>
      <c r="B1920" s="2" t="str">
        <f>Hyperlink("https://www.diodes.com/datasheet/download/DMTH84M1SPS.pdf")</f>
        <v>https://www.diodes.com/datasheet/download/DMTH84M1SPS.pdf</v>
      </c>
      <c r="C1920" t="str">
        <f>Hyperlink("https://www.diodes.com/part/view/DMTH84M1SPS","DMTH84M1SPS")</f>
        <v>DMTH84M1SPS</v>
      </c>
      <c r="D1920" t="s">
        <v>2929</v>
      </c>
      <c r="E1920" t="s">
        <v>30</v>
      </c>
      <c r="F1920" t="s">
        <v>28</v>
      </c>
      <c r="G1920" t="s">
        <v>29</v>
      </c>
      <c r="H1920" t="s">
        <v>30</v>
      </c>
      <c r="I1920">
        <v>80</v>
      </c>
      <c r="J1920">
        <v>20</v>
      </c>
      <c r="L1920">
        <v>100</v>
      </c>
      <c r="M1920">
        <v>2.8</v>
      </c>
      <c r="N1920">
        <v>136</v>
      </c>
      <c r="O1920">
        <v>4</v>
      </c>
      <c r="P1920" t="s">
        <v>2961</v>
      </c>
      <c r="T1920">
        <v>4</v>
      </c>
      <c r="U1920" t="s">
        <v>2962</v>
      </c>
      <c r="V1920">
        <v>63</v>
      </c>
      <c r="W1920">
        <v>4209</v>
      </c>
      <c r="X1920">
        <v>40</v>
      </c>
      <c r="Y1920" t="s">
        <v>907</v>
      </c>
    </row>
    <row r="1921" spans="1:25">
      <c r="A1921" t="s">
        <v>2963</v>
      </c>
      <c r="B1921" s="2" t="str">
        <f>Hyperlink("https://www.diodes.com/datasheet/download/DMTH84M1SPSQ.pdf")</f>
        <v>https://www.diodes.com/datasheet/download/DMTH84M1SPSQ.pdf</v>
      </c>
      <c r="C1921" t="str">
        <f>Hyperlink("https://www.diodes.com/part/view/DMTH84M1SPSQ","DMTH84M1SPSQ")</f>
        <v>DMTH84M1SPSQ</v>
      </c>
      <c r="D1921" t="s">
        <v>2929</v>
      </c>
      <c r="E1921" t="s">
        <v>27</v>
      </c>
      <c r="F1921" t="s">
        <v>37</v>
      </c>
      <c r="G1921" t="s">
        <v>29</v>
      </c>
      <c r="H1921" t="s">
        <v>30</v>
      </c>
      <c r="I1921">
        <v>80</v>
      </c>
      <c r="J1921">
        <v>20</v>
      </c>
      <c r="L1921">
        <v>100</v>
      </c>
      <c r="M1921">
        <v>2.8</v>
      </c>
      <c r="N1921">
        <v>136</v>
      </c>
      <c r="O1921">
        <v>4</v>
      </c>
      <c r="T1921">
        <v>4</v>
      </c>
      <c r="V1921">
        <v>63</v>
      </c>
      <c r="W1921">
        <v>4209</v>
      </c>
      <c r="X1921">
        <v>40</v>
      </c>
      <c r="Y1921" t="s">
        <v>907</v>
      </c>
    </row>
    <row r="1922" spans="1:25">
      <c r="A1922" t="s">
        <v>2964</v>
      </c>
      <c r="B1922" s="2" t="str">
        <f>Hyperlink("https://www.diodes.com/datasheet/download/DMTH84M1SPSW.pdf")</f>
        <v>https://www.diodes.com/datasheet/download/DMTH84M1SPSW.pdf</v>
      </c>
      <c r="C1922" t="str">
        <f>Hyperlink("https://www.diodes.com/part/view/DMTH84M1SPSW","DMTH84M1SPSW")</f>
        <v>DMTH84M1SPSW</v>
      </c>
      <c r="D1922" t="s">
        <v>2922</v>
      </c>
      <c r="E1922" t="s">
        <v>30</v>
      </c>
      <c r="F1922" t="s">
        <v>28</v>
      </c>
      <c r="G1922" t="s">
        <v>29</v>
      </c>
      <c r="H1922" t="s">
        <v>30</v>
      </c>
      <c r="I1922">
        <v>80</v>
      </c>
      <c r="J1922">
        <v>20</v>
      </c>
      <c r="L1922">
        <v>100</v>
      </c>
      <c r="M1922">
        <v>2.8</v>
      </c>
      <c r="N1922">
        <v>136</v>
      </c>
      <c r="O1922">
        <v>4</v>
      </c>
      <c r="S1922">
        <v>2</v>
      </c>
      <c r="T1922">
        <v>4</v>
      </c>
      <c r="V1922">
        <v>63</v>
      </c>
      <c r="W1922">
        <v>4209</v>
      </c>
      <c r="X1922">
        <v>40</v>
      </c>
      <c r="Y1922" t="s">
        <v>1546</v>
      </c>
    </row>
    <row r="1923" spans="1:25">
      <c r="A1923" t="s">
        <v>2965</v>
      </c>
      <c r="B1923" s="2" t="str">
        <f>Hyperlink("https://www.diodes.com/datasheet/download/DMTH84M1SPSWQ.pdf")</f>
        <v>https://www.diodes.com/datasheet/download/DMTH84M1SPSWQ.pdf</v>
      </c>
      <c r="C1923" t="str">
        <f>Hyperlink("https://www.diodes.com/part/view/DMTH84M1SPSWQ","DMTH84M1SPSWQ")</f>
        <v>DMTH84M1SPSWQ</v>
      </c>
      <c r="D1923" t="s">
        <v>2922</v>
      </c>
      <c r="E1923" t="s">
        <v>27</v>
      </c>
      <c r="F1923" t="s">
        <v>37</v>
      </c>
      <c r="G1923" t="s">
        <v>29</v>
      </c>
      <c r="H1923" t="s">
        <v>30</v>
      </c>
      <c r="I1923">
        <v>80</v>
      </c>
      <c r="J1923">
        <v>20</v>
      </c>
      <c r="K1923">
        <v>100</v>
      </c>
      <c r="M1923">
        <v>2.8</v>
      </c>
      <c r="N1923">
        <v>136</v>
      </c>
      <c r="O1923">
        <v>4</v>
      </c>
      <c r="S1923">
        <v>2</v>
      </c>
      <c r="T1923">
        <v>4</v>
      </c>
      <c r="V1923">
        <v>63</v>
      </c>
      <c r="W1923">
        <v>4209</v>
      </c>
      <c r="X1923">
        <v>40</v>
      </c>
      <c r="Y1923" t="s">
        <v>1546</v>
      </c>
    </row>
    <row r="1924" spans="1:25">
      <c r="A1924" t="s">
        <v>2966</v>
      </c>
      <c r="B1924" s="2" t="str">
        <f>Hyperlink("https://www.diodes.com/datasheet/download/DMWS120H100SM4.pdf")</f>
        <v>https://www.diodes.com/datasheet/download/DMWS120H100SM4.pdf</v>
      </c>
      <c r="C1924" t="str">
        <f>Hyperlink("https://www.diodes.com/part/view/DMWS120H100SM4","DMWS120H100SM4")</f>
        <v>DMWS120H100SM4</v>
      </c>
      <c r="D1924" t="s">
        <v>2967</v>
      </c>
      <c r="E1924" t="s">
        <v>27</v>
      </c>
      <c r="F1924" t="s">
        <v>28</v>
      </c>
      <c r="G1924" t="s">
        <v>29</v>
      </c>
      <c r="H1924" t="s">
        <v>30</v>
      </c>
      <c r="I1924">
        <v>1200</v>
      </c>
      <c r="J1924" t="s">
        <v>2968</v>
      </c>
      <c r="L1924">
        <v>37.2</v>
      </c>
      <c r="N1924">
        <v>208</v>
      </c>
      <c r="O1924" t="s">
        <v>2969</v>
      </c>
      <c r="S1924">
        <v>1.7</v>
      </c>
      <c r="T1924">
        <v>3.5</v>
      </c>
      <c r="V1924" t="s">
        <v>2970</v>
      </c>
      <c r="W1924">
        <v>1516</v>
      </c>
      <c r="X1924">
        <v>1000</v>
      </c>
      <c r="Y1924" t="s">
        <v>2971</v>
      </c>
    </row>
    <row r="1925" spans="1:25">
      <c r="A1925" t="s">
        <v>2972</v>
      </c>
      <c r="B1925" s="2" t="str">
        <f>Hyperlink("https://www.diodes.com/datasheet/download/DMWSH120H23SM3.pdf")</f>
        <v>https://www.diodes.com/datasheet/download/DMWSH120H23SM3.pdf</v>
      </c>
      <c r="C1925" t="str">
        <f>Hyperlink("https://www.diodes.com/part/view/DMWSH120H23SM3","DMWSH120H23SM3")</f>
        <v>DMWSH120H23SM3</v>
      </c>
      <c r="D1925" t="s">
        <v>2973</v>
      </c>
      <c r="E1925" t="s">
        <v>30</v>
      </c>
      <c r="F1925" t="s">
        <v>28</v>
      </c>
      <c r="G1925" t="s">
        <v>29</v>
      </c>
      <c r="H1925" t="s">
        <v>30</v>
      </c>
      <c r="I1925">
        <v>1200</v>
      </c>
      <c r="J1925" t="s">
        <v>2974</v>
      </c>
      <c r="L1925">
        <v>100</v>
      </c>
      <c r="N1925">
        <v>349</v>
      </c>
      <c r="O1925" t="s">
        <v>2975</v>
      </c>
      <c r="S1925">
        <v>1.8</v>
      </c>
      <c r="T1925">
        <v>3.6</v>
      </c>
      <c r="V1925" t="s">
        <v>2976</v>
      </c>
      <c r="W1925">
        <v>3962</v>
      </c>
      <c r="X1925">
        <v>1000</v>
      </c>
      <c r="Y1925" t="s">
        <v>2977</v>
      </c>
    </row>
    <row r="1926" spans="1:25">
      <c r="A1926" t="s">
        <v>2978</v>
      </c>
      <c r="B1926" s="2" t="str">
        <f>Hyperlink("https://www.diodes.com/datasheet/download/DMWSH120H23SM4.pdf")</f>
        <v>https://www.diodes.com/datasheet/download/DMWSH120H23SM4.pdf</v>
      </c>
      <c r="C1926" t="str">
        <f>Hyperlink("https://www.diodes.com/part/view/DMWSH120H23SM4","DMWSH120H23SM4")</f>
        <v>DMWSH120H23SM4</v>
      </c>
      <c r="D1926" t="s">
        <v>2967</v>
      </c>
      <c r="E1926" t="s">
        <v>30</v>
      </c>
      <c r="F1926" t="s">
        <v>28</v>
      </c>
      <c r="G1926" t="s">
        <v>29</v>
      </c>
      <c r="H1926" t="s">
        <v>30</v>
      </c>
      <c r="I1926">
        <v>1200</v>
      </c>
      <c r="J1926" t="s">
        <v>2974</v>
      </c>
      <c r="L1926">
        <v>100</v>
      </c>
      <c r="N1926">
        <v>349</v>
      </c>
      <c r="O1926" t="s">
        <v>2975</v>
      </c>
      <c r="S1926">
        <v>1.8</v>
      </c>
      <c r="T1926">
        <v>3.6</v>
      </c>
      <c r="V1926" t="s">
        <v>2976</v>
      </c>
      <c r="W1926">
        <v>3962</v>
      </c>
      <c r="X1926">
        <v>1000</v>
      </c>
      <c r="Y1926" t="s">
        <v>2971</v>
      </c>
    </row>
    <row r="1927" spans="1:25">
      <c r="A1927" t="s">
        <v>2979</v>
      </c>
      <c r="B1927" s="2" t="str">
        <f>Hyperlink("https://www.diodes.com/datasheet/download/DMWSH120H28SM3.pdf")</f>
        <v>https://www.diodes.com/datasheet/download/DMWSH120H28SM3.pdf</v>
      </c>
      <c r="C1927" t="str">
        <f>Hyperlink("https://www.diodes.com/part/view/DMWSH120H28SM3","DMWSH120H28SM3")</f>
        <v>DMWSH120H28SM3</v>
      </c>
      <c r="D1927" t="s">
        <v>2967</v>
      </c>
      <c r="E1927" t="s">
        <v>30</v>
      </c>
      <c r="F1927" t="s">
        <v>28</v>
      </c>
      <c r="G1927" t="s">
        <v>29</v>
      </c>
      <c r="H1927" t="s">
        <v>30</v>
      </c>
      <c r="I1927">
        <v>1200</v>
      </c>
      <c r="J1927" t="s">
        <v>2968</v>
      </c>
      <c r="L1927">
        <v>97.4</v>
      </c>
      <c r="N1927">
        <v>405</v>
      </c>
      <c r="O1927" t="s">
        <v>2980</v>
      </c>
      <c r="S1927">
        <v>1.8</v>
      </c>
      <c r="T1927">
        <v>3.6</v>
      </c>
      <c r="V1927" t="s">
        <v>2981</v>
      </c>
      <c r="W1927">
        <v>3905</v>
      </c>
      <c r="X1927">
        <v>1000</v>
      </c>
      <c r="Y1927" t="s">
        <v>2977</v>
      </c>
    </row>
    <row r="1928" spans="1:25">
      <c r="A1928" t="s">
        <v>2982</v>
      </c>
      <c r="B1928" s="2" t="str">
        <f>Hyperlink("https://www.diodes.com/datasheet/download/DMWSH120H28SM3Q.pdf")</f>
        <v>https://www.diodes.com/datasheet/download/DMWSH120H28SM3Q.pdf</v>
      </c>
      <c r="C1928" t="str">
        <f>Hyperlink("https://www.diodes.com/part/view/DMWSH120H28SM3Q","DMWSH120H28SM3Q")</f>
        <v>DMWSH120H28SM3Q</v>
      </c>
      <c r="D1928" t="s">
        <v>2967</v>
      </c>
      <c r="E1928" t="s">
        <v>27</v>
      </c>
      <c r="F1928" t="s">
        <v>37</v>
      </c>
      <c r="G1928" t="s">
        <v>29</v>
      </c>
      <c r="H1928" t="s">
        <v>30</v>
      </c>
      <c r="I1928">
        <v>1200</v>
      </c>
      <c r="J1928" t="s">
        <v>2968</v>
      </c>
      <c r="L1928">
        <v>97.4</v>
      </c>
      <c r="N1928">
        <v>405</v>
      </c>
      <c r="O1928" t="s">
        <v>2980</v>
      </c>
      <c r="S1928">
        <v>1.8</v>
      </c>
      <c r="T1928">
        <v>3.6</v>
      </c>
      <c r="V1928" t="s">
        <v>2981</v>
      </c>
      <c r="W1928">
        <v>3905</v>
      </c>
      <c r="X1928">
        <v>1000</v>
      </c>
      <c r="Y1928" t="s">
        <v>2977</v>
      </c>
    </row>
    <row r="1929" spans="1:25">
      <c r="A1929" t="s">
        <v>2983</v>
      </c>
      <c r="B1929" s="2" t="str">
        <f>Hyperlink("https://www.diodes.com/datasheet/download/DMWSH120H28SM4.pdf")</f>
        <v>https://www.diodes.com/datasheet/download/DMWSH120H28SM4.pdf</v>
      </c>
      <c r="C1929" t="str">
        <f>Hyperlink("https://www.diodes.com/part/view/DMWSH120H28SM4","DMWSH120H28SM4")</f>
        <v>DMWSH120H28SM4</v>
      </c>
      <c r="D1929" t="s">
        <v>2967</v>
      </c>
      <c r="E1929" t="s">
        <v>30</v>
      </c>
      <c r="F1929" t="s">
        <v>28</v>
      </c>
      <c r="G1929" t="s">
        <v>29</v>
      </c>
      <c r="H1929" t="s">
        <v>30</v>
      </c>
      <c r="I1929">
        <v>1200</v>
      </c>
      <c r="J1929" t="s">
        <v>2968</v>
      </c>
      <c r="L1929">
        <v>100</v>
      </c>
      <c r="N1929">
        <v>429</v>
      </c>
      <c r="O1929" t="s">
        <v>2980</v>
      </c>
      <c r="S1929">
        <v>1.8</v>
      </c>
      <c r="T1929">
        <v>3.6</v>
      </c>
      <c r="V1929" t="s">
        <v>2984</v>
      </c>
      <c r="W1929">
        <v>3944</v>
      </c>
      <c r="X1929">
        <v>1000</v>
      </c>
      <c r="Y1929" t="s">
        <v>2971</v>
      </c>
    </row>
    <row r="1930" spans="1:25">
      <c r="A1930" t="s">
        <v>2985</v>
      </c>
      <c r="B1930" s="2" t="str">
        <f>Hyperlink("https://www.diodes.com/datasheet/download/DMWSH120H28SM4Q.pdf")</f>
        <v>https://www.diodes.com/datasheet/download/DMWSH120H28SM4Q.pdf</v>
      </c>
      <c r="C1930" t="str">
        <f>Hyperlink("https://www.diodes.com/part/view/DMWSH120H28SM4Q","DMWSH120H28SM4Q")</f>
        <v>DMWSH120H28SM4Q</v>
      </c>
      <c r="D1930" t="s">
        <v>2967</v>
      </c>
      <c r="E1930" t="s">
        <v>27</v>
      </c>
      <c r="F1930" t="s">
        <v>37</v>
      </c>
      <c r="G1930" t="s">
        <v>29</v>
      </c>
      <c r="H1930" t="s">
        <v>30</v>
      </c>
      <c r="I1930">
        <v>1200</v>
      </c>
      <c r="J1930" t="s">
        <v>2968</v>
      </c>
      <c r="L1930">
        <v>100</v>
      </c>
      <c r="N1930">
        <v>429</v>
      </c>
      <c r="O1930" t="s">
        <v>2980</v>
      </c>
      <c r="S1930">
        <v>1.8</v>
      </c>
      <c r="T1930">
        <v>3.6</v>
      </c>
      <c r="V1930" t="s">
        <v>2984</v>
      </c>
      <c r="W1930">
        <v>3944</v>
      </c>
      <c r="X1930">
        <v>1000</v>
      </c>
      <c r="Y1930" t="s">
        <v>2971</v>
      </c>
    </row>
    <row r="1931" spans="1:25">
      <c r="A1931" t="s">
        <v>2986</v>
      </c>
      <c r="B1931" s="2" t="str">
        <f>Hyperlink("https://www.diodes.com/datasheet/download/DMWSH120H43SM3.pdf")</f>
        <v>https://www.diodes.com/datasheet/download/DMWSH120H43SM3.pdf</v>
      </c>
      <c r="C1931" t="str">
        <f>Hyperlink("https://www.diodes.com/part/view/DMWSH120H43SM3","DMWSH120H43SM3")</f>
        <v>DMWSH120H43SM3</v>
      </c>
      <c r="D1931" t="s">
        <v>2967</v>
      </c>
      <c r="E1931" t="s">
        <v>30</v>
      </c>
      <c r="F1931" t="s">
        <v>28</v>
      </c>
      <c r="G1931" t="s">
        <v>29</v>
      </c>
      <c r="H1931" t="s">
        <v>30</v>
      </c>
      <c r="I1931">
        <v>1200</v>
      </c>
      <c r="J1931" t="s">
        <v>2968</v>
      </c>
      <c r="L1931">
        <v>72.7</v>
      </c>
      <c r="N1931">
        <v>341</v>
      </c>
      <c r="O1931" t="s">
        <v>2987</v>
      </c>
      <c r="S1931">
        <v>1.8</v>
      </c>
      <c r="T1931">
        <v>3.6</v>
      </c>
      <c r="V1931" t="s">
        <v>2988</v>
      </c>
      <c r="W1931">
        <v>2187</v>
      </c>
      <c r="X1931">
        <v>1000</v>
      </c>
      <c r="Y1931" t="s">
        <v>2977</v>
      </c>
    </row>
    <row r="1932" spans="1:25">
      <c r="A1932" t="s">
        <v>2989</v>
      </c>
      <c r="B1932" s="2" t="str">
        <f>Hyperlink("https://www.diodes.com/datasheet/download/DMWSH120H43SM3Q.pdf")</f>
        <v>https://www.diodes.com/datasheet/download/DMWSH120H43SM3Q.pdf</v>
      </c>
      <c r="C1932" t="str">
        <f>Hyperlink("https://www.diodes.com/part/view/DMWSH120H43SM3Q","DMWSH120H43SM3Q")</f>
        <v>DMWSH120H43SM3Q</v>
      </c>
      <c r="D1932" t="s">
        <v>2967</v>
      </c>
      <c r="E1932" t="s">
        <v>27</v>
      </c>
      <c r="F1932" t="s">
        <v>37</v>
      </c>
      <c r="G1932" t="s">
        <v>29</v>
      </c>
      <c r="H1932" t="s">
        <v>30</v>
      </c>
      <c r="I1932">
        <v>1200</v>
      </c>
      <c r="J1932" t="s">
        <v>2968</v>
      </c>
      <c r="L1932">
        <v>70.5</v>
      </c>
      <c r="N1932">
        <v>320</v>
      </c>
      <c r="O1932" t="s">
        <v>2990</v>
      </c>
      <c r="S1932">
        <v>1.8</v>
      </c>
      <c r="T1932">
        <v>3.6</v>
      </c>
      <c r="V1932" t="s">
        <v>2991</v>
      </c>
      <c r="W1932">
        <v>2216</v>
      </c>
      <c r="X1932">
        <v>1000</v>
      </c>
      <c r="Y1932" t="s">
        <v>2977</v>
      </c>
    </row>
    <row r="1933" spans="1:25">
      <c r="A1933" t="s">
        <v>2992</v>
      </c>
      <c r="B1933" s="2" t="str">
        <f>Hyperlink("https://www.diodes.com/datasheet/download/DMWSH120H43SM4.pdf")</f>
        <v>https://www.diodes.com/datasheet/download/DMWSH120H43SM4.pdf</v>
      </c>
      <c r="C1933" t="str">
        <f>Hyperlink("https://www.diodes.com/part/view/DMWSH120H43SM4","DMWSH120H43SM4")</f>
        <v>DMWSH120H43SM4</v>
      </c>
      <c r="D1933" t="s">
        <v>2967</v>
      </c>
      <c r="E1933" t="s">
        <v>30</v>
      </c>
      <c r="F1933" t="s">
        <v>28</v>
      </c>
      <c r="G1933" t="s">
        <v>29</v>
      </c>
      <c r="H1933" t="s">
        <v>30</v>
      </c>
      <c r="I1933">
        <v>1200</v>
      </c>
      <c r="J1933" t="s">
        <v>2968</v>
      </c>
      <c r="L1933">
        <v>72.7</v>
      </c>
      <c r="N1933">
        <v>341</v>
      </c>
      <c r="O1933" t="s">
        <v>2987</v>
      </c>
      <c r="S1933">
        <v>1.8</v>
      </c>
      <c r="T1933">
        <v>3.6</v>
      </c>
      <c r="V1933" t="s">
        <v>2988</v>
      </c>
      <c r="W1933">
        <v>2187</v>
      </c>
      <c r="X1933">
        <v>1000</v>
      </c>
      <c r="Y1933" t="s">
        <v>2971</v>
      </c>
    </row>
    <row r="1934" spans="1:25">
      <c r="A1934" t="s">
        <v>2993</v>
      </c>
      <c r="B1934" s="2" t="str">
        <f>Hyperlink("https://www.diodes.com/datasheet/download/DMWSH120H43SM4Q.pdf")</f>
        <v>https://www.diodes.com/datasheet/download/DMWSH120H43SM4Q.pdf</v>
      </c>
      <c r="C1934" t="str">
        <f>Hyperlink("https://www.diodes.com/part/view/DMWSH120H43SM4Q","DMWSH120H43SM4Q")</f>
        <v>DMWSH120H43SM4Q</v>
      </c>
      <c r="D1934" t="s">
        <v>2967</v>
      </c>
      <c r="E1934" t="s">
        <v>27</v>
      </c>
      <c r="F1934" t="s">
        <v>37</v>
      </c>
      <c r="G1934" t="s">
        <v>29</v>
      </c>
      <c r="H1934" t="s">
        <v>30</v>
      </c>
      <c r="I1934">
        <v>1200</v>
      </c>
      <c r="J1934" t="s">
        <v>2968</v>
      </c>
      <c r="L1934">
        <v>70.5</v>
      </c>
      <c r="N1934">
        <v>320</v>
      </c>
      <c r="O1934" t="s">
        <v>2987</v>
      </c>
      <c r="S1934">
        <v>1.8</v>
      </c>
      <c r="T1934">
        <v>3.6</v>
      </c>
      <c r="V1934" t="s">
        <v>2994</v>
      </c>
      <c r="W1934">
        <v>2204</v>
      </c>
      <c r="X1934">
        <v>1000</v>
      </c>
      <c r="Y1934" t="s">
        <v>2971</v>
      </c>
    </row>
    <row r="1935" spans="1:25">
      <c r="A1935" t="s">
        <v>2995</v>
      </c>
      <c r="B1935" s="2" t="str">
        <f>Hyperlink("https://www.diodes.com/datasheet/download/DMWSH120H80SM3.pdf")</f>
        <v>https://www.diodes.com/datasheet/download/DMWSH120H80SM3.pdf</v>
      </c>
      <c r="C1935" t="str">
        <f>Hyperlink("https://www.diodes.com/part/view/DMWSH120H80SM3","DMWSH120H80SM3")</f>
        <v>DMWSH120H80SM3</v>
      </c>
      <c r="D1935" t="s">
        <v>2967</v>
      </c>
      <c r="E1935" t="s">
        <v>30</v>
      </c>
      <c r="F1935" t="s">
        <v>28</v>
      </c>
      <c r="G1935" t="s">
        <v>29</v>
      </c>
      <c r="H1935" t="s">
        <v>30</v>
      </c>
      <c r="I1935">
        <v>1200</v>
      </c>
      <c r="J1935" t="s">
        <v>2974</v>
      </c>
      <c r="L1935">
        <v>44.5</v>
      </c>
      <c r="N1935">
        <v>238</v>
      </c>
      <c r="O1935" t="s">
        <v>2996</v>
      </c>
      <c r="S1935">
        <v>1.7</v>
      </c>
      <c r="T1935">
        <v>3.5</v>
      </c>
      <c r="V1935" t="s">
        <v>2997</v>
      </c>
      <c r="W1935">
        <v>1069</v>
      </c>
      <c r="X1935">
        <v>1000</v>
      </c>
      <c r="Y1935" t="s">
        <v>2977</v>
      </c>
    </row>
    <row r="1936" spans="1:25">
      <c r="A1936" t="s">
        <v>2998</v>
      </c>
      <c r="B1936" s="2" t="str">
        <f>Hyperlink("https://www.diodes.com/datasheet/download/DMWSH120H80SM4.pdf")</f>
        <v>https://www.diodes.com/datasheet/download/DMWSH120H80SM4.pdf</v>
      </c>
      <c r="C1936" t="str">
        <f>Hyperlink("https://www.diodes.com/part/view/DMWSH120H80SM4","DMWSH120H80SM4")</f>
        <v>DMWSH120H80SM4</v>
      </c>
      <c r="D1936" t="s">
        <v>2967</v>
      </c>
      <c r="E1936" t="s">
        <v>30</v>
      </c>
      <c r="F1936" t="s">
        <v>28</v>
      </c>
      <c r="G1936" t="s">
        <v>29</v>
      </c>
      <c r="H1936" t="s">
        <v>30</v>
      </c>
      <c r="I1936">
        <v>1200</v>
      </c>
      <c r="J1936" t="s">
        <v>2974</v>
      </c>
      <c r="L1936">
        <v>44.5</v>
      </c>
      <c r="N1936">
        <v>238</v>
      </c>
      <c r="O1936" t="s">
        <v>2996</v>
      </c>
      <c r="S1936">
        <v>1.7</v>
      </c>
      <c r="T1936">
        <v>3.5</v>
      </c>
      <c r="V1936" t="s">
        <v>2997</v>
      </c>
      <c r="W1936">
        <v>1069</v>
      </c>
      <c r="X1936">
        <v>1000</v>
      </c>
      <c r="Y1936" t="s">
        <v>2971</v>
      </c>
    </row>
    <row r="1937" spans="1:25">
      <c r="A1937" t="s">
        <v>2999</v>
      </c>
      <c r="B1937" s="2" t="str">
        <f>Hyperlink("https://www.diodes.com/datasheet/download/DMWSH120H90SCT7.pdf")</f>
        <v>https://www.diodes.com/datasheet/download/DMWSH120H90SCT7.pdf</v>
      </c>
      <c r="C1937" t="str">
        <f>Hyperlink("https://www.diodes.com/part/view/DMWSH120H90SCT7","DMWSH120H90SCT7")</f>
        <v>DMWSH120H90SCT7</v>
      </c>
      <c r="D1937" t="s">
        <v>2967</v>
      </c>
      <c r="E1937" t="s">
        <v>30</v>
      </c>
      <c r="F1937" t="s">
        <v>28</v>
      </c>
      <c r="G1937" t="s">
        <v>29</v>
      </c>
      <c r="H1937" t="s">
        <v>30</v>
      </c>
      <c r="I1937">
        <v>1200</v>
      </c>
      <c r="J1937" t="s">
        <v>2968</v>
      </c>
      <c r="L1937">
        <v>38.2</v>
      </c>
      <c r="N1937">
        <v>197</v>
      </c>
      <c r="O1937" t="s">
        <v>3000</v>
      </c>
      <c r="S1937">
        <v>1.7</v>
      </c>
      <c r="T1937">
        <v>3.5</v>
      </c>
      <c r="V1937" t="s">
        <v>3001</v>
      </c>
      <c r="W1937">
        <v>1078</v>
      </c>
      <c r="X1937">
        <v>1000</v>
      </c>
      <c r="Y1937" t="s">
        <v>3002</v>
      </c>
    </row>
    <row r="1938" spans="1:25">
      <c r="A1938" t="s">
        <v>3003</v>
      </c>
      <c r="B1938" s="2" t="str">
        <f>Hyperlink("https://www.diodes.com/datasheet/download/DMWSH120H90SCT7Q.pdf")</f>
        <v>https://www.diodes.com/datasheet/download/DMWSH120H90SCT7Q.pdf</v>
      </c>
      <c r="C1938" t="str">
        <f>Hyperlink("https://www.diodes.com/part/view/DMWSH120H90SCT7Q","DMWSH120H90SCT7Q")</f>
        <v>DMWSH120H90SCT7Q</v>
      </c>
      <c r="D1938" t="s">
        <v>2967</v>
      </c>
      <c r="E1938" t="s">
        <v>27</v>
      </c>
      <c r="F1938" t="s">
        <v>37</v>
      </c>
      <c r="G1938" t="s">
        <v>29</v>
      </c>
      <c r="H1938" t="s">
        <v>30</v>
      </c>
      <c r="I1938">
        <v>1200</v>
      </c>
      <c r="J1938" t="s">
        <v>2968</v>
      </c>
      <c r="L1938">
        <v>38.2</v>
      </c>
      <c r="N1938">
        <v>197</v>
      </c>
      <c r="O1938" t="s">
        <v>3000</v>
      </c>
      <c r="S1938">
        <v>1.7</v>
      </c>
      <c r="T1938">
        <v>3.5</v>
      </c>
      <c r="V1938" t="s">
        <v>3001</v>
      </c>
      <c r="W1938">
        <v>1078</v>
      </c>
      <c r="X1938">
        <v>1000</v>
      </c>
      <c r="Y1938" t="s">
        <v>3002</v>
      </c>
    </row>
    <row r="1939" spans="1:25">
      <c r="A1939" t="s">
        <v>3004</v>
      </c>
      <c r="B1939" s="2" t="str">
        <f>Hyperlink("https://www.diodes.com/datasheet/download/DMWSH120H90SM3.pdf")</f>
        <v>https://www.diodes.com/datasheet/download/DMWSH120H90SM3.pdf</v>
      </c>
      <c r="C1939" t="str">
        <f>Hyperlink("https://www.diodes.com/part/view/DMWSH120H90SM3","DMWSH120H90SM3")</f>
        <v>DMWSH120H90SM3</v>
      </c>
      <c r="D1939" t="s">
        <v>2967</v>
      </c>
      <c r="E1939" t="s">
        <v>30</v>
      </c>
      <c r="F1939" t="s">
        <v>28</v>
      </c>
      <c r="G1939" t="s">
        <v>29</v>
      </c>
      <c r="H1939" t="s">
        <v>30</v>
      </c>
      <c r="I1939">
        <v>1200</v>
      </c>
      <c r="J1939" t="s">
        <v>2968</v>
      </c>
      <c r="L1939">
        <v>41</v>
      </c>
      <c r="N1939">
        <v>246</v>
      </c>
      <c r="O1939" t="s">
        <v>3005</v>
      </c>
      <c r="S1939">
        <v>1.7</v>
      </c>
      <c r="T1939">
        <v>3.5</v>
      </c>
      <c r="V1939" t="s">
        <v>3006</v>
      </c>
      <c r="W1939">
        <v>1090</v>
      </c>
      <c r="X1939">
        <v>1000</v>
      </c>
      <c r="Y1939" t="s">
        <v>2977</v>
      </c>
    </row>
    <row r="1940" spans="1:25">
      <c r="A1940" t="s">
        <v>3007</v>
      </c>
      <c r="B1940" s="2" t="str">
        <f>Hyperlink("https://www.diodes.com/datasheet/download/DMWSH120H90SM3Q.pdf")</f>
        <v>https://www.diodes.com/datasheet/download/DMWSH120H90SM3Q.pdf</v>
      </c>
      <c r="C1940" t="str">
        <f>Hyperlink("https://www.diodes.com/part/view/DMWSH120H90SM3Q","DMWSH120H90SM3Q")</f>
        <v>DMWSH120H90SM3Q</v>
      </c>
      <c r="D1940" t="s">
        <v>2967</v>
      </c>
      <c r="E1940" t="s">
        <v>27</v>
      </c>
      <c r="F1940" t="s">
        <v>37</v>
      </c>
      <c r="G1940" t="s">
        <v>29</v>
      </c>
      <c r="H1940" t="s">
        <v>30</v>
      </c>
      <c r="I1940">
        <v>1200</v>
      </c>
      <c r="J1940" t="s">
        <v>2968</v>
      </c>
      <c r="L1940">
        <v>41</v>
      </c>
      <c r="N1940">
        <v>246</v>
      </c>
      <c r="O1940" t="s">
        <v>3005</v>
      </c>
      <c r="S1940">
        <v>1.7</v>
      </c>
      <c r="T1940">
        <v>3.5</v>
      </c>
      <c r="V1940" t="s">
        <v>3006</v>
      </c>
      <c r="W1940">
        <v>1090</v>
      </c>
      <c r="X1940">
        <v>1000</v>
      </c>
      <c r="Y1940" t="s">
        <v>2977</v>
      </c>
    </row>
    <row r="1941" spans="1:25">
      <c r="A1941" t="s">
        <v>3008</v>
      </c>
      <c r="B1941" s="2" t="str">
        <f>Hyperlink("https://www.diodes.com/datasheet/download/DMWSH120H90SM4.pdf")</f>
        <v>https://www.diodes.com/datasheet/download/DMWSH120H90SM4.pdf</v>
      </c>
      <c r="C1941" t="str">
        <f>Hyperlink("https://www.diodes.com/part/view/DMWSH120H90SM4","DMWSH120H90SM4")</f>
        <v>DMWSH120H90SM4</v>
      </c>
      <c r="D1941" t="s">
        <v>2967</v>
      </c>
      <c r="E1941" t="s">
        <v>30</v>
      </c>
      <c r="F1941" t="s">
        <v>28</v>
      </c>
      <c r="G1941" t="s">
        <v>29</v>
      </c>
      <c r="H1941" t="s">
        <v>30</v>
      </c>
      <c r="I1941">
        <v>1200</v>
      </c>
      <c r="J1941" t="s">
        <v>2968</v>
      </c>
      <c r="L1941">
        <v>40</v>
      </c>
      <c r="N1941">
        <v>235</v>
      </c>
      <c r="O1941" t="s">
        <v>3005</v>
      </c>
      <c r="S1941">
        <v>1.7</v>
      </c>
      <c r="T1941">
        <v>3.5</v>
      </c>
      <c r="V1941" t="s">
        <v>3009</v>
      </c>
      <c r="W1941">
        <v>1112</v>
      </c>
      <c r="X1941">
        <v>1000</v>
      </c>
      <c r="Y1941" t="s">
        <v>2971</v>
      </c>
    </row>
    <row r="1942" spans="1:25">
      <c r="A1942" t="s">
        <v>3010</v>
      </c>
      <c r="B1942" s="2" t="str">
        <f>Hyperlink("https://www.diodes.com/datasheet/download/DMWSH120H90SM4Q.pdf")</f>
        <v>https://www.diodes.com/datasheet/download/DMWSH120H90SM4Q.pdf</v>
      </c>
      <c r="C1942" t="str">
        <f>Hyperlink("https://www.diodes.com/part/view/DMWSH120H90SM4Q","DMWSH120H90SM4Q")</f>
        <v>DMWSH120H90SM4Q</v>
      </c>
      <c r="D1942" t="s">
        <v>2967</v>
      </c>
      <c r="E1942" t="s">
        <v>27</v>
      </c>
      <c r="F1942" t="s">
        <v>37</v>
      </c>
      <c r="G1942" t="s">
        <v>29</v>
      </c>
      <c r="H1942" t="s">
        <v>30</v>
      </c>
      <c r="I1942">
        <v>1200</v>
      </c>
      <c r="J1942" t="s">
        <v>2968</v>
      </c>
      <c r="L1942">
        <v>40</v>
      </c>
      <c r="N1942">
        <v>235</v>
      </c>
      <c r="O1942" t="s">
        <v>3005</v>
      </c>
      <c r="S1942">
        <v>1.7</v>
      </c>
      <c r="T1942">
        <v>3.5</v>
      </c>
      <c r="V1942" t="s">
        <v>3009</v>
      </c>
      <c r="W1942">
        <v>1112</v>
      </c>
      <c r="X1942">
        <v>1000</v>
      </c>
      <c r="Y1942" t="s">
        <v>2971</v>
      </c>
    </row>
    <row r="1943" spans="1:25">
      <c r="A1943" t="s">
        <v>3011</v>
      </c>
      <c r="B1943" s="2" t="str">
        <f>Hyperlink("https://www.diodes.com/datasheet/download/DTM3A25P20NFDB.pdf")</f>
        <v>https://www.diodes.com/datasheet/download/DTM3A25P20NFDB.pdf</v>
      </c>
      <c r="C1943" t="str">
        <f>Hyperlink("https://www.diodes.com/part/view/DTM3A25P20NFDB","DTM3A25P20NFDB")</f>
        <v>DTM3A25P20NFDB</v>
      </c>
      <c r="D1943" t="s">
        <v>3012</v>
      </c>
      <c r="E1943" t="s">
        <v>30</v>
      </c>
      <c r="F1943" t="s">
        <v>28</v>
      </c>
      <c r="G1943" t="s">
        <v>3013</v>
      </c>
      <c r="H1943" t="s">
        <v>30</v>
      </c>
      <c r="I1943">
        <v>20</v>
      </c>
      <c r="J1943">
        <v>0.5</v>
      </c>
      <c r="K1943">
        <v>0.63</v>
      </c>
      <c r="M1943">
        <v>2.47</v>
      </c>
      <c r="P1943">
        <v>400</v>
      </c>
      <c r="Q1943">
        <v>500</v>
      </c>
      <c r="R1943">
        <v>700</v>
      </c>
      <c r="S1943">
        <v>0.5</v>
      </c>
      <c r="T1943">
        <v>1</v>
      </c>
      <c r="U1943">
        <v>736.6</v>
      </c>
      <c r="W1943">
        <v>60.67</v>
      </c>
      <c r="X1943">
        <v>16</v>
      </c>
      <c r="Y1943" t="s">
        <v>179</v>
      </c>
    </row>
    <row r="1944" spans="1:25">
      <c r="A1944" t="s">
        <v>3014</v>
      </c>
      <c r="B1944" s="2" t="str">
        <f>Hyperlink("https://www.diodes.com/datasheet/download/MMBF170.pdf")</f>
        <v>https://www.diodes.com/datasheet/download/MMBF170.pdf</v>
      </c>
      <c r="C1944" t="str">
        <f>Hyperlink("https://www.diodes.com/part/view/MMBF170","MMBF170")</f>
        <v>MMBF170</v>
      </c>
      <c r="D1944" t="s">
        <v>26</v>
      </c>
      <c r="E1944" t="s">
        <v>27</v>
      </c>
      <c r="F1944" t="s">
        <v>28</v>
      </c>
      <c r="G1944" t="s">
        <v>29</v>
      </c>
      <c r="H1944" t="s">
        <v>30</v>
      </c>
      <c r="I1944">
        <v>60</v>
      </c>
      <c r="J1944">
        <v>20</v>
      </c>
      <c r="K1944">
        <v>0.2</v>
      </c>
      <c r="M1944">
        <v>0.3</v>
      </c>
      <c r="O1944">
        <v>5000</v>
      </c>
      <c r="P1944">
        <v>5300</v>
      </c>
      <c r="T1944">
        <v>3</v>
      </c>
      <c r="W1944">
        <v>22</v>
      </c>
      <c r="X1944">
        <v>10</v>
      </c>
      <c r="Y1944" t="s">
        <v>32</v>
      </c>
    </row>
    <row r="1945" spans="1:25">
      <c r="A1945" t="s">
        <v>3015</v>
      </c>
      <c r="B1945" s="2" t="str">
        <f>Hyperlink("https://www.diodes.com/datasheet/download/MMBF170Q.pdf")</f>
        <v>https://www.diodes.com/datasheet/download/MMBF170Q.pdf</v>
      </c>
      <c r="C1945" t="str">
        <f>Hyperlink("https://www.diodes.com/part/view/MMBF170Q","MMBF170Q")</f>
        <v>MMBF170Q</v>
      </c>
      <c r="D1945" t="s">
        <v>26</v>
      </c>
      <c r="E1945" t="s">
        <v>27</v>
      </c>
      <c r="F1945" t="s">
        <v>37</v>
      </c>
      <c r="G1945" t="s">
        <v>29</v>
      </c>
      <c r="H1945" t="s">
        <v>30</v>
      </c>
      <c r="I1945">
        <v>60</v>
      </c>
      <c r="J1945">
        <v>20</v>
      </c>
      <c r="K1945">
        <v>0.5</v>
      </c>
      <c r="M1945">
        <v>0.3</v>
      </c>
      <c r="O1945">
        <v>5000</v>
      </c>
      <c r="P1945">
        <v>5300</v>
      </c>
      <c r="T1945">
        <v>3</v>
      </c>
      <c r="W1945">
        <v>22</v>
      </c>
      <c r="X1945">
        <v>10</v>
      </c>
      <c r="Y1945" t="s">
        <v>35</v>
      </c>
    </row>
    <row r="1946" spans="1:25">
      <c r="A1946" t="s">
        <v>3016</v>
      </c>
      <c r="B1946" s="2" t="str">
        <f>Hyperlink("https://www.diodes.com/datasheet/download/NMSD200B01.pdf")</f>
        <v>https://www.diodes.com/datasheet/download/NMSD200B01.pdf</v>
      </c>
      <c r="C1946" t="str">
        <f>Hyperlink("https://www.diodes.com/part/view/NMSD200B01","NMSD200B01")</f>
        <v>NMSD200B01</v>
      </c>
      <c r="D1946" t="s">
        <v>3017</v>
      </c>
      <c r="E1946" t="s">
        <v>30</v>
      </c>
      <c r="F1946" t="s">
        <v>28</v>
      </c>
      <c r="G1946" t="s">
        <v>3018</v>
      </c>
      <c r="H1946" t="s">
        <v>30</v>
      </c>
      <c r="I1946">
        <v>60</v>
      </c>
      <c r="J1946">
        <v>20</v>
      </c>
      <c r="M1946">
        <v>0.2</v>
      </c>
      <c r="O1946">
        <v>2000</v>
      </c>
      <c r="P1946" t="s">
        <v>3019</v>
      </c>
      <c r="S1946">
        <v>1</v>
      </c>
      <c r="T1946">
        <v>2.5</v>
      </c>
      <c r="W1946" t="s">
        <v>3020</v>
      </c>
      <c r="X1946">
        <v>25</v>
      </c>
      <c r="Y1946" t="s">
        <v>42</v>
      </c>
    </row>
    <row r="1947" spans="1:25">
      <c r="A1947" t="s">
        <v>3021</v>
      </c>
      <c r="B1947" s="2" t="str">
        <f>Hyperlink("https://www.diodes.com/datasheet/download/VN10LF.pdf")</f>
        <v>https://www.diodes.com/datasheet/download/VN10LF.pdf</v>
      </c>
      <c r="C1947" t="str">
        <f>Hyperlink("https://www.diodes.com/part/view/VN10LF","VN10LF")</f>
        <v>VN10LF</v>
      </c>
      <c r="D1947" t="s">
        <v>26</v>
      </c>
      <c r="E1947" t="s">
        <v>27</v>
      </c>
      <c r="F1947" t="s">
        <v>28</v>
      </c>
      <c r="G1947" t="s">
        <v>29</v>
      </c>
      <c r="H1947" t="s">
        <v>30</v>
      </c>
      <c r="I1947">
        <v>60</v>
      </c>
      <c r="J1947">
        <v>20</v>
      </c>
      <c r="K1947">
        <v>0.15</v>
      </c>
      <c r="M1947">
        <v>0.33</v>
      </c>
      <c r="O1947">
        <v>5000</v>
      </c>
      <c r="P1947" t="s">
        <v>1528</v>
      </c>
      <c r="T1947">
        <v>2.5</v>
      </c>
      <c r="Y1947" t="s">
        <v>35</v>
      </c>
    </row>
    <row r="1948" spans="1:25">
      <c r="A1948" t="s">
        <v>3022</v>
      </c>
      <c r="B1948" s="2" t="str">
        <f>Hyperlink("https://www.diodes.com/datasheet/download/VN10LP.pdf")</f>
        <v>https://www.diodes.com/datasheet/download/VN10LP.pdf</v>
      </c>
      <c r="C1948" t="str">
        <f>Hyperlink("https://www.diodes.com/part/view/VN10LP","VN10LP")</f>
        <v>VN10LP</v>
      </c>
      <c r="D1948" t="s">
        <v>26</v>
      </c>
      <c r="E1948" t="s">
        <v>27</v>
      </c>
      <c r="F1948" t="s">
        <v>28</v>
      </c>
      <c r="G1948" t="s">
        <v>29</v>
      </c>
      <c r="H1948" t="s">
        <v>30</v>
      </c>
      <c r="I1948">
        <v>60</v>
      </c>
      <c r="J1948">
        <v>20</v>
      </c>
      <c r="K1948">
        <v>0.27</v>
      </c>
      <c r="M1948">
        <v>0.625</v>
      </c>
      <c r="O1948">
        <v>5000</v>
      </c>
      <c r="P1948" t="s">
        <v>1528</v>
      </c>
      <c r="T1948">
        <v>2.5</v>
      </c>
      <c r="W1948" t="s">
        <v>3023</v>
      </c>
      <c r="Y1948" t="s">
        <v>67</v>
      </c>
    </row>
    <row r="1949" spans="1:25">
      <c r="A1949" t="s">
        <v>3024</v>
      </c>
      <c r="B1949" s="2" t="str">
        <f>Hyperlink("https://www.diodes.com/datasheet/download/ZVN0124A.pdf")</f>
        <v>https://www.diodes.com/datasheet/download/ZVN0124A.pdf</v>
      </c>
      <c r="C1949" t="str">
        <f>Hyperlink("https://www.diodes.com/part/view/ZVN0124A","ZVN0124A")</f>
        <v>ZVN0124A</v>
      </c>
      <c r="D1949" t="s">
        <v>2947</v>
      </c>
      <c r="E1949" t="s">
        <v>27</v>
      </c>
      <c r="F1949" t="s">
        <v>28</v>
      </c>
      <c r="G1949" t="s">
        <v>29</v>
      </c>
      <c r="H1949" t="s">
        <v>30</v>
      </c>
      <c r="I1949">
        <v>240</v>
      </c>
      <c r="J1949">
        <v>20</v>
      </c>
      <c r="K1949">
        <v>0.16</v>
      </c>
      <c r="M1949">
        <v>0.7</v>
      </c>
      <c r="O1949">
        <v>16000</v>
      </c>
      <c r="T1949">
        <v>3</v>
      </c>
      <c r="W1949" t="s">
        <v>66</v>
      </c>
      <c r="Y1949" t="s">
        <v>67</v>
      </c>
    </row>
    <row r="1950" spans="1:25">
      <c r="A1950" t="s">
        <v>3025</v>
      </c>
      <c r="B1950" s="2" t="str">
        <f>Hyperlink("https://www.diodes.com/datasheet/download/ZVN0545A.pdf")</f>
        <v>https://www.diodes.com/datasheet/download/ZVN0545A.pdf</v>
      </c>
      <c r="C1950" t="str">
        <f>Hyperlink("https://www.diodes.com/part/view/ZVN0545A","ZVN0545A")</f>
        <v>ZVN0545A</v>
      </c>
      <c r="D1950" t="s">
        <v>2947</v>
      </c>
      <c r="E1950" t="s">
        <v>27</v>
      </c>
      <c r="F1950" t="s">
        <v>28</v>
      </c>
      <c r="G1950" t="s">
        <v>29</v>
      </c>
      <c r="H1950" t="s">
        <v>30</v>
      </c>
      <c r="I1950">
        <v>450</v>
      </c>
      <c r="J1950">
        <v>20</v>
      </c>
      <c r="K1950">
        <v>0.09</v>
      </c>
      <c r="M1950">
        <v>0.7</v>
      </c>
      <c r="O1950">
        <v>50000</v>
      </c>
      <c r="T1950">
        <v>3</v>
      </c>
      <c r="W1950" t="s">
        <v>3026</v>
      </c>
      <c r="Y1950" t="s">
        <v>67</v>
      </c>
    </row>
    <row r="1951" spans="1:25">
      <c r="A1951" t="s">
        <v>3027</v>
      </c>
      <c r="B1951" s="2" t="str">
        <f>Hyperlink("https://www.diodes.com/datasheet/download/ZVN0545G.pdf")</f>
        <v>https://www.diodes.com/datasheet/download/ZVN0545G.pdf</v>
      </c>
      <c r="C1951" t="str">
        <f>Hyperlink("https://www.diodes.com/part/view/ZVN0545G","ZVN0545G")</f>
        <v>ZVN0545G</v>
      </c>
      <c r="D1951" t="s">
        <v>26</v>
      </c>
      <c r="E1951" t="s">
        <v>30</v>
      </c>
      <c r="F1951" t="s">
        <v>28</v>
      </c>
      <c r="G1951" t="s">
        <v>29</v>
      </c>
      <c r="H1951" t="s">
        <v>30</v>
      </c>
      <c r="I1951">
        <v>450</v>
      </c>
      <c r="J1951">
        <v>20</v>
      </c>
      <c r="K1951">
        <v>0.14</v>
      </c>
      <c r="M1951">
        <v>2</v>
      </c>
      <c r="O1951">
        <v>50000</v>
      </c>
      <c r="T1951">
        <v>3</v>
      </c>
      <c r="W1951" t="s">
        <v>3026</v>
      </c>
      <c r="Y1951" t="s">
        <v>3028</v>
      </c>
    </row>
    <row r="1952" spans="1:25">
      <c r="A1952" t="s">
        <v>3029</v>
      </c>
      <c r="B1952" s="2" t="str">
        <f>Hyperlink("https://www.diodes.com/datasheet/download/ZVN2106A.pdf")</f>
        <v>https://www.diodes.com/datasheet/download/ZVN2106A.pdf</v>
      </c>
      <c r="C1952" t="str">
        <f>Hyperlink("https://www.diodes.com/part/view/ZVN2106A","ZVN2106A")</f>
        <v>ZVN2106A</v>
      </c>
      <c r="D1952" t="s">
        <v>2947</v>
      </c>
      <c r="E1952" t="s">
        <v>27</v>
      </c>
      <c r="F1952" t="s">
        <v>28</v>
      </c>
      <c r="G1952" t="s">
        <v>29</v>
      </c>
      <c r="H1952" t="s">
        <v>30</v>
      </c>
      <c r="I1952">
        <v>60</v>
      </c>
      <c r="J1952">
        <v>20</v>
      </c>
      <c r="K1952">
        <v>0.45</v>
      </c>
      <c r="M1952">
        <v>0.7</v>
      </c>
      <c r="O1952">
        <v>2000</v>
      </c>
      <c r="T1952">
        <v>2.4</v>
      </c>
      <c r="W1952" t="s">
        <v>3030</v>
      </c>
      <c r="Y1952" t="s">
        <v>67</v>
      </c>
    </row>
    <row r="1953" spans="1:25">
      <c r="A1953" t="s">
        <v>3031</v>
      </c>
      <c r="B1953" s="2" t="str">
        <f>Hyperlink("https://www.diodes.com/datasheet/download/ZVN2106G.pdf")</f>
        <v>https://www.diodes.com/datasheet/download/ZVN2106G.pdf</v>
      </c>
      <c r="C1953" t="str">
        <f>Hyperlink("https://www.diodes.com/part/view/ZVN2106G","ZVN2106G")</f>
        <v>ZVN2106G</v>
      </c>
      <c r="D1953" t="s">
        <v>2947</v>
      </c>
      <c r="E1953" t="s">
        <v>27</v>
      </c>
      <c r="F1953" t="s">
        <v>28</v>
      </c>
      <c r="G1953" t="s">
        <v>29</v>
      </c>
      <c r="H1953" t="s">
        <v>30</v>
      </c>
      <c r="I1953">
        <v>60</v>
      </c>
      <c r="J1953">
        <v>20</v>
      </c>
      <c r="K1953">
        <v>0.71</v>
      </c>
      <c r="M1953">
        <v>2</v>
      </c>
      <c r="O1953">
        <v>2000</v>
      </c>
      <c r="T1953">
        <v>2.4</v>
      </c>
      <c r="W1953" t="s">
        <v>3030</v>
      </c>
      <c r="Y1953" t="s">
        <v>3028</v>
      </c>
    </row>
    <row r="1954" spans="1:25">
      <c r="A1954" t="s">
        <v>3032</v>
      </c>
      <c r="B1954" s="2" t="str">
        <f>Hyperlink("https://www.diodes.com/datasheet/download/ZVN2110A.pdf")</f>
        <v>https://www.diodes.com/datasheet/download/ZVN2110A.pdf</v>
      </c>
      <c r="C1954" t="str">
        <f>Hyperlink("https://www.diodes.com/part/view/ZVN2110A","ZVN2110A")</f>
        <v>ZVN2110A</v>
      </c>
      <c r="D1954" t="s">
        <v>2947</v>
      </c>
      <c r="E1954" t="s">
        <v>27</v>
      </c>
      <c r="F1954" t="s">
        <v>28</v>
      </c>
      <c r="G1954" t="s">
        <v>29</v>
      </c>
      <c r="H1954" t="s">
        <v>30</v>
      </c>
      <c r="I1954">
        <v>100</v>
      </c>
      <c r="J1954">
        <v>20</v>
      </c>
      <c r="K1954">
        <v>0.32</v>
      </c>
      <c r="M1954">
        <v>0.7</v>
      </c>
      <c r="O1954">
        <v>4000</v>
      </c>
      <c r="T1954">
        <v>2.4</v>
      </c>
      <c r="W1954" t="s">
        <v>3033</v>
      </c>
      <c r="Y1954" t="s">
        <v>67</v>
      </c>
    </row>
    <row r="1955" spans="1:25">
      <c r="A1955" t="s">
        <v>3034</v>
      </c>
      <c r="B1955" s="2" t="str">
        <f>Hyperlink("https://www.diodes.com/datasheet/download/ZVN2110G.pdf")</f>
        <v>https://www.diodes.com/datasheet/download/ZVN2110G.pdf</v>
      </c>
      <c r="C1955" t="str">
        <f>Hyperlink("https://www.diodes.com/part/view/ZVN2110G","ZVN2110G")</f>
        <v>ZVN2110G</v>
      </c>
      <c r="D1955" t="s">
        <v>26</v>
      </c>
      <c r="E1955" t="s">
        <v>27</v>
      </c>
      <c r="F1955" t="s">
        <v>28</v>
      </c>
      <c r="G1955" t="s">
        <v>29</v>
      </c>
      <c r="H1955" t="s">
        <v>30</v>
      </c>
      <c r="I1955">
        <v>100</v>
      </c>
      <c r="J1955">
        <v>20</v>
      </c>
      <c r="K1955">
        <v>0.5</v>
      </c>
      <c r="M1955">
        <v>2</v>
      </c>
      <c r="O1955">
        <v>4000</v>
      </c>
      <c r="T1955">
        <v>2.4</v>
      </c>
      <c r="W1955" t="s">
        <v>3035</v>
      </c>
      <c r="Y1955" t="s">
        <v>3028</v>
      </c>
    </row>
    <row r="1956" spans="1:25">
      <c r="A1956" t="s">
        <v>3036</v>
      </c>
      <c r="B1956" s="2" t="str">
        <f>Hyperlink("https://www.diodes.com/datasheet/download/ZVN2120G.pdf")</f>
        <v>https://www.diodes.com/datasheet/download/ZVN2120G.pdf</v>
      </c>
      <c r="C1956" t="str">
        <f>Hyperlink("https://www.diodes.com/part/view/ZVN2120G","ZVN2120G")</f>
        <v>ZVN2120G</v>
      </c>
      <c r="D1956" t="s">
        <v>26</v>
      </c>
      <c r="E1956" t="s">
        <v>27</v>
      </c>
      <c r="F1956" t="s">
        <v>28</v>
      </c>
      <c r="G1956" t="s">
        <v>29</v>
      </c>
      <c r="H1956" t="s">
        <v>30</v>
      </c>
      <c r="I1956">
        <v>200</v>
      </c>
      <c r="J1956">
        <v>20</v>
      </c>
      <c r="K1956">
        <v>0.32</v>
      </c>
      <c r="M1956">
        <v>2</v>
      </c>
      <c r="O1956">
        <v>10000</v>
      </c>
      <c r="T1956">
        <v>3</v>
      </c>
      <c r="W1956" t="s">
        <v>66</v>
      </c>
      <c r="Y1956" t="s">
        <v>3028</v>
      </c>
    </row>
    <row r="1957" spans="1:25">
      <c r="A1957" t="s">
        <v>3037</v>
      </c>
      <c r="B1957" s="2" t="str">
        <f>Hyperlink("https://www.diodes.com/datasheet/download/ZVN3306A.pdf")</f>
        <v>https://www.diodes.com/datasheet/download/ZVN3306A.pdf</v>
      </c>
      <c r="C1957" t="str">
        <f>Hyperlink("https://www.diodes.com/part/view/ZVN3306A","ZVN3306A")</f>
        <v>ZVN3306A</v>
      </c>
      <c r="D1957" t="s">
        <v>26</v>
      </c>
      <c r="E1957" t="s">
        <v>27</v>
      </c>
      <c r="F1957" t="s">
        <v>28</v>
      </c>
      <c r="G1957" t="s">
        <v>29</v>
      </c>
      <c r="H1957" t="s">
        <v>30</v>
      </c>
      <c r="I1957">
        <v>60</v>
      </c>
      <c r="J1957">
        <v>20</v>
      </c>
      <c r="K1957">
        <v>0.27</v>
      </c>
      <c r="M1957">
        <v>0.625</v>
      </c>
      <c r="O1957">
        <v>5000</v>
      </c>
      <c r="T1957">
        <v>2.4</v>
      </c>
      <c r="W1957" t="s">
        <v>3038</v>
      </c>
      <c r="Y1957" t="s">
        <v>67</v>
      </c>
    </row>
    <row r="1958" spans="1:25">
      <c r="A1958" t="s">
        <v>3039</v>
      </c>
      <c r="B1958" s="2" t="str">
        <f>Hyperlink("https://www.diodes.com/datasheet/download/ZVN3306F.pdf")</f>
        <v>https://www.diodes.com/datasheet/download/ZVN3306F.pdf</v>
      </c>
      <c r="C1958" t="str">
        <f>Hyperlink("https://www.diodes.com/part/view/ZVN3306F","ZVN3306F")</f>
        <v>ZVN3306F</v>
      </c>
      <c r="D1958" t="s">
        <v>26</v>
      </c>
      <c r="E1958" t="s">
        <v>27</v>
      </c>
      <c r="F1958" t="s">
        <v>28</v>
      </c>
      <c r="G1958" t="s">
        <v>29</v>
      </c>
      <c r="H1958" t="s">
        <v>30</v>
      </c>
      <c r="I1958">
        <v>60</v>
      </c>
      <c r="J1958">
        <v>20</v>
      </c>
      <c r="K1958">
        <v>0.15</v>
      </c>
      <c r="M1958">
        <v>0.33</v>
      </c>
      <c r="O1958">
        <v>5000</v>
      </c>
      <c r="T1958">
        <v>2.4</v>
      </c>
      <c r="W1958" t="s">
        <v>3038</v>
      </c>
      <c r="Y1958" t="s">
        <v>35</v>
      </c>
    </row>
    <row r="1959" spans="1:25">
      <c r="A1959" t="s">
        <v>3040</v>
      </c>
      <c r="B1959" s="2" t="str">
        <f>Hyperlink("https://www.diodes.com/datasheet/download/ZVN3310A.pdf")</f>
        <v>https://www.diodes.com/datasheet/download/ZVN3310A.pdf</v>
      </c>
      <c r="C1959" t="str">
        <f>Hyperlink("https://www.diodes.com/part/view/ZVN3310A","ZVN3310A")</f>
        <v>ZVN3310A</v>
      </c>
      <c r="D1959" t="s">
        <v>2947</v>
      </c>
      <c r="E1959" t="s">
        <v>27</v>
      </c>
      <c r="F1959" t="s">
        <v>28</v>
      </c>
      <c r="G1959" t="s">
        <v>29</v>
      </c>
      <c r="H1959" t="s">
        <v>30</v>
      </c>
      <c r="I1959">
        <v>100</v>
      </c>
      <c r="J1959">
        <v>20</v>
      </c>
      <c r="K1959">
        <v>0.2</v>
      </c>
      <c r="M1959">
        <v>0.625</v>
      </c>
      <c r="O1959">
        <v>10000</v>
      </c>
      <c r="T1959">
        <v>2.4</v>
      </c>
      <c r="W1959" t="s">
        <v>3041</v>
      </c>
      <c r="Y1959" t="s">
        <v>67</v>
      </c>
    </row>
    <row r="1960" spans="1:25">
      <c r="A1960" t="s">
        <v>3042</v>
      </c>
      <c r="B1960" s="2" t="str">
        <f>Hyperlink("https://www.diodes.com/datasheet/download/ZVN3310F.pdf")</f>
        <v>https://www.diodes.com/datasheet/download/ZVN3310F.pdf</v>
      </c>
      <c r="C1960" t="str">
        <f>Hyperlink("https://www.diodes.com/part/view/ZVN3310F","ZVN3310F")</f>
        <v>ZVN3310F</v>
      </c>
      <c r="D1960" t="s">
        <v>3043</v>
      </c>
      <c r="E1960" t="s">
        <v>27</v>
      </c>
      <c r="F1960" t="s">
        <v>28</v>
      </c>
      <c r="G1960" t="s">
        <v>29</v>
      </c>
      <c r="H1960" t="s">
        <v>30</v>
      </c>
      <c r="I1960">
        <v>100</v>
      </c>
      <c r="J1960">
        <v>20</v>
      </c>
      <c r="K1960">
        <v>0.1</v>
      </c>
      <c r="M1960">
        <v>0.33</v>
      </c>
      <c r="O1960">
        <v>10000</v>
      </c>
      <c r="T1960">
        <v>2.4</v>
      </c>
      <c r="W1960" t="s">
        <v>3041</v>
      </c>
      <c r="Y1960" t="s">
        <v>35</v>
      </c>
    </row>
    <row r="1961" spans="1:25">
      <c r="A1961" t="s">
        <v>3044</v>
      </c>
      <c r="B1961" s="2" t="str">
        <f>Hyperlink("https://www.diodes.com/datasheet/download/ZVN3320F.pdf")</f>
        <v>https://www.diodes.com/datasheet/download/ZVN3320F.pdf</v>
      </c>
      <c r="C1961" t="str">
        <f>Hyperlink("https://www.diodes.com/part/view/ZVN3320F","ZVN3320F")</f>
        <v>ZVN3320F</v>
      </c>
      <c r="D1961" t="s">
        <v>26</v>
      </c>
      <c r="E1961" t="s">
        <v>27</v>
      </c>
      <c r="F1961" t="s">
        <v>28</v>
      </c>
      <c r="G1961" t="s">
        <v>29</v>
      </c>
      <c r="H1961" t="s">
        <v>30</v>
      </c>
      <c r="I1961">
        <v>200</v>
      </c>
      <c r="J1961">
        <v>20</v>
      </c>
      <c r="K1961">
        <v>0.06</v>
      </c>
      <c r="M1961">
        <v>0.33</v>
      </c>
      <c r="O1961">
        <v>25000</v>
      </c>
      <c r="T1961">
        <v>3</v>
      </c>
      <c r="W1961" t="s">
        <v>3045</v>
      </c>
      <c r="Y1961" t="s">
        <v>35</v>
      </c>
    </row>
    <row r="1962" spans="1:25">
      <c r="A1962" t="s">
        <v>3046</v>
      </c>
      <c r="B1962" s="2" t="str">
        <f>Hyperlink("https://www.diodes.com/datasheet/download/ZVN4106F.pdf")</f>
        <v>https://www.diodes.com/datasheet/download/ZVN4106F.pdf</v>
      </c>
      <c r="C1962" t="str">
        <f>Hyperlink("https://www.diodes.com/part/view/ZVN4106F","ZVN4106F")</f>
        <v>ZVN4106F</v>
      </c>
      <c r="D1962" t="s">
        <v>3047</v>
      </c>
      <c r="E1962" t="s">
        <v>27</v>
      </c>
      <c r="F1962" t="s">
        <v>28</v>
      </c>
      <c r="G1962" t="s">
        <v>29</v>
      </c>
      <c r="H1962" t="s">
        <v>30</v>
      </c>
      <c r="I1962">
        <v>60</v>
      </c>
      <c r="J1962">
        <v>20</v>
      </c>
      <c r="K1962">
        <v>0.2</v>
      </c>
      <c r="M1962">
        <v>0.35</v>
      </c>
      <c r="O1962">
        <v>2500</v>
      </c>
      <c r="P1962" t="s">
        <v>3048</v>
      </c>
      <c r="T1962">
        <v>3</v>
      </c>
      <c r="W1962" t="s">
        <v>3049</v>
      </c>
      <c r="Y1962" t="s">
        <v>35</v>
      </c>
    </row>
    <row r="1963" spans="1:25">
      <c r="A1963" t="s">
        <v>3050</v>
      </c>
      <c r="B1963" s="2" t="str">
        <f>Hyperlink("https://www.diodes.com/datasheet/download/ZVN4206A.pdf")</f>
        <v>https://www.diodes.com/datasheet/download/ZVN4206A.pdf</v>
      </c>
      <c r="C1963" t="str">
        <f>Hyperlink("https://www.diodes.com/part/view/ZVN4206A","ZVN4206A")</f>
        <v>ZVN4206A</v>
      </c>
      <c r="D1963" t="s">
        <v>2947</v>
      </c>
      <c r="E1963" t="s">
        <v>27</v>
      </c>
      <c r="F1963" t="s">
        <v>28</v>
      </c>
      <c r="G1963" t="s">
        <v>29</v>
      </c>
      <c r="H1963" t="s">
        <v>30</v>
      </c>
      <c r="I1963">
        <v>60</v>
      </c>
      <c r="J1963">
        <v>20</v>
      </c>
      <c r="K1963">
        <v>0.6</v>
      </c>
      <c r="M1963">
        <v>0.7</v>
      </c>
      <c r="O1963">
        <v>1000</v>
      </c>
      <c r="P1963" t="s">
        <v>3051</v>
      </c>
      <c r="T1963">
        <v>3</v>
      </c>
      <c r="W1963" t="s">
        <v>3052</v>
      </c>
      <c r="Y1963" t="s">
        <v>67</v>
      </c>
    </row>
    <row r="1964" spans="1:25">
      <c r="A1964" t="s">
        <v>3053</v>
      </c>
      <c r="B1964" s="2" t="str">
        <f>Hyperlink("https://www.diodes.com/datasheet/download/ZVN4206AV.pdf")</f>
        <v>https://www.diodes.com/datasheet/download/ZVN4206AV.pdf</v>
      </c>
      <c r="C1964" t="str">
        <f>Hyperlink("https://www.diodes.com/part/view/ZVN4206AV","ZVN4206AV")</f>
        <v>ZVN4206AV</v>
      </c>
      <c r="D1964" t="s">
        <v>26</v>
      </c>
      <c r="E1964" t="s">
        <v>27</v>
      </c>
      <c r="F1964" t="s">
        <v>28</v>
      </c>
      <c r="G1964" t="s">
        <v>29</v>
      </c>
      <c r="H1964" t="s">
        <v>30</v>
      </c>
      <c r="I1964">
        <v>60</v>
      </c>
      <c r="J1964">
        <v>20</v>
      </c>
      <c r="K1964">
        <v>0.6</v>
      </c>
      <c r="M1964">
        <v>0.7</v>
      </c>
      <c r="O1964">
        <v>1000</v>
      </c>
      <c r="P1964" t="s">
        <v>3051</v>
      </c>
      <c r="T1964">
        <v>3</v>
      </c>
      <c r="W1964" t="s">
        <v>3052</v>
      </c>
      <c r="Y1964" t="s">
        <v>67</v>
      </c>
    </row>
    <row r="1965" spans="1:25">
      <c r="A1965" t="s">
        <v>3054</v>
      </c>
      <c r="B1965" s="2" t="str">
        <f>Hyperlink("https://www.diodes.com/datasheet/download/ZVN4206G.pdf")</f>
        <v>https://www.diodes.com/datasheet/download/ZVN4206G.pdf</v>
      </c>
      <c r="C1965" t="str">
        <f>Hyperlink("https://www.diodes.com/part/view/ZVN4206G","ZVN4206G")</f>
        <v>ZVN4206G</v>
      </c>
      <c r="D1965" t="s">
        <v>26</v>
      </c>
      <c r="E1965" t="s">
        <v>27</v>
      </c>
      <c r="F1965" t="s">
        <v>28</v>
      </c>
      <c r="G1965" t="s">
        <v>29</v>
      </c>
      <c r="H1965" t="s">
        <v>30</v>
      </c>
      <c r="I1965">
        <v>60</v>
      </c>
      <c r="J1965">
        <v>20</v>
      </c>
      <c r="K1965">
        <v>1</v>
      </c>
      <c r="M1965">
        <v>2</v>
      </c>
      <c r="O1965">
        <v>1000</v>
      </c>
      <c r="P1965" t="s">
        <v>3051</v>
      </c>
      <c r="T1965">
        <v>3</v>
      </c>
      <c r="W1965" t="s">
        <v>3052</v>
      </c>
      <c r="Y1965" t="s">
        <v>3028</v>
      </c>
    </row>
    <row r="1966" spans="1:25">
      <c r="A1966" t="s">
        <v>3055</v>
      </c>
      <c r="B1966" s="2" t="str">
        <f>Hyperlink("https://www.diodes.com/datasheet/download/ZVN4206GV.pdf")</f>
        <v>https://www.diodes.com/datasheet/download/ZVN4206GV.pdf</v>
      </c>
      <c r="C1966" t="str">
        <f>Hyperlink("https://www.diodes.com/part/view/ZVN4206GV","ZVN4206GV")</f>
        <v>ZVN4206GV</v>
      </c>
      <c r="D1966" t="s">
        <v>26</v>
      </c>
      <c r="E1966" t="s">
        <v>27</v>
      </c>
      <c r="F1966" t="s">
        <v>28</v>
      </c>
      <c r="G1966" t="s">
        <v>29</v>
      </c>
      <c r="H1966" t="s">
        <v>30</v>
      </c>
      <c r="I1966">
        <v>60</v>
      </c>
      <c r="J1966">
        <v>20</v>
      </c>
      <c r="K1966">
        <v>1</v>
      </c>
      <c r="M1966">
        <v>2</v>
      </c>
      <c r="O1966">
        <v>1000</v>
      </c>
      <c r="P1966" t="s">
        <v>3051</v>
      </c>
      <c r="T1966">
        <v>3</v>
      </c>
      <c r="W1966" t="s">
        <v>3052</v>
      </c>
      <c r="Y1966" t="s">
        <v>3028</v>
      </c>
    </row>
    <row r="1967" spans="1:25">
      <c r="A1967" t="s">
        <v>3056</v>
      </c>
      <c r="B1967" s="2" t="str">
        <f>Hyperlink("https://www.diodes.com/datasheet/download/ZVN4210A.pdf")</f>
        <v>https://www.diodes.com/datasheet/download/ZVN4210A.pdf</v>
      </c>
      <c r="C1967" t="str">
        <f>Hyperlink("https://www.diodes.com/part/view/ZVN4210A","ZVN4210A")</f>
        <v>ZVN4210A</v>
      </c>
      <c r="D1967" t="s">
        <v>2947</v>
      </c>
      <c r="E1967" t="s">
        <v>27</v>
      </c>
      <c r="F1967" t="s">
        <v>28</v>
      </c>
      <c r="G1967" t="s">
        <v>29</v>
      </c>
      <c r="H1967" t="s">
        <v>30</v>
      </c>
      <c r="I1967">
        <v>100</v>
      </c>
      <c r="J1967">
        <v>20</v>
      </c>
      <c r="K1967">
        <v>0.45</v>
      </c>
      <c r="M1967">
        <v>0.7</v>
      </c>
      <c r="O1967">
        <v>1500</v>
      </c>
      <c r="P1967" t="s">
        <v>1454</v>
      </c>
      <c r="T1967">
        <v>2.4</v>
      </c>
      <c r="W1967" t="s">
        <v>3052</v>
      </c>
      <c r="Y1967" t="s">
        <v>67</v>
      </c>
    </row>
    <row r="1968" spans="1:25">
      <c r="A1968" t="s">
        <v>3057</v>
      </c>
      <c r="B1968" s="2" t="str">
        <f>Hyperlink("https://www.diodes.com/datasheet/download/ZVN4210G.pdf")</f>
        <v>https://www.diodes.com/datasheet/download/ZVN4210G.pdf</v>
      </c>
      <c r="C1968" t="str">
        <f>Hyperlink("https://www.diodes.com/part/view/ZVN4210G","ZVN4210G")</f>
        <v>ZVN4210G</v>
      </c>
      <c r="D1968" t="s">
        <v>26</v>
      </c>
      <c r="E1968" t="s">
        <v>27</v>
      </c>
      <c r="F1968" t="s">
        <v>28</v>
      </c>
      <c r="G1968" t="s">
        <v>29</v>
      </c>
      <c r="H1968" t="s">
        <v>30</v>
      </c>
      <c r="I1968">
        <v>100</v>
      </c>
      <c r="J1968">
        <v>20</v>
      </c>
      <c r="K1968">
        <v>0.8</v>
      </c>
      <c r="M1968">
        <v>2</v>
      </c>
      <c r="O1968">
        <v>1500</v>
      </c>
      <c r="P1968" t="s">
        <v>1454</v>
      </c>
      <c r="T1968">
        <v>2.4</v>
      </c>
      <c r="W1968" t="s">
        <v>3052</v>
      </c>
      <c r="Y1968" t="s">
        <v>3028</v>
      </c>
    </row>
    <row r="1969" spans="1:25">
      <c r="A1969" t="s">
        <v>3058</v>
      </c>
      <c r="B1969" s="2" t="str">
        <f>Hyperlink("https://www.diodes.com/datasheet/download/ZVN4306A.pdf")</f>
        <v>https://www.diodes.com/datasheet/download/ZVN4306A.pdf</v>
      </c>
      <c r="C1969" t="str">
        <f>Hyperlink("https://www.diodes.com/part/view/ZVN4306A","ZVN4306A")</f>
        <v>ZVN4306A</v>
      </c>
      <c r="D1969" t="s">
        <v>26</v>
      </c>
      <c r="E1969" t="s">
        <v>27</v>
      </c>
      <c r="F1969" t="s">
        <v>28</v>
      </c>
      <c r="G1969" t="s">
        <v>29</v>
      </c>
      <c r="H1969" t="s">
        <v>30</v>
      </c>
      <c r="I1969">
        <v>60</v>
      </c>
      <c r="J1969">
        <v>20</v>
      </c>
      <c r="K1969">
        <v>1.1</v>
      </c>
      <c r="M1969">
        <v>1.1</v>
      </c>
      <c r="O1969">
        <v>330</v>
      </c>
      <c r="P1969" t="s">
        <v>3059</v>
      </c>
      <c r="T1969">
        <v>3</v>
      </c>
      <c r="V1969">
        <v>5.2</v>
      </c>
      <c r="W1969" t="s">
        <v>3060</v>
      </c>
      <c r="Y1969" t="s">
        <v>67</v>
      </c>
    </row>
    <row r="1970" spans="1:25">
      <c r="A1970" t="s">
        <v>3061</v>
      </c>
      <c r="B1970" s="2" t="str">
        <f>Hyperlink("https://www.diodes.com/datasheet/download/ZVN4306AV.pdf")</f>
        <v>https://www.diodes.com/datasheet/download/ZVN4306AV.pdf</v>
      </c>
      <c r="C1970" t="str">
        <f>Hyperlink("https://www.diodes.com/part/view/ZVN4306AV","ZVN4306AV")</f>
        <v>ZVN4306AV</v>
      </c>
      <c r="D1970" t="s">
        <v>26</v>
      </c>
      <c r="E1970" t="s">
        <v>27</v>
      </c>
      <c r="F1970" t="s">
        <v>28</v>
      </c>
      <c r="G1970" t="s">
        <v>29</v>
      </c>
      <c r="H1970" t="s">
        <v>30</v>
      </c>
      <c r="I1970">
        <v>60</v>
      </c>
      <c r="J1970">
        <v>20</v>
      </c>
      <c r="K1970">
        <v>1.1</v>
      </c>
      <c r="M1970">
        <v>0.85</v>
      </c>
      <c r="O1970">
        <v>330</v>
      </c>
      <c r="P1970" t="s">
        <v>3059</v>
      </c>
      <c r="T1970">
        <v>3</v>
      </c>
      <c r="W1970" t="s">
        <v>3060</v>
      </c>
      <c r="Y1970" t="s">
        <v>67</v>
      </c>
    </row>
    <row r="1971" spans="1:25">
      <c r="A1971" t="s">
        <v>3062</v>
      </c>
      <c r="B1971" s="2" t="str">
        <f>Hyperlink("https://www.diodes.com/datasheet/download/ZVN4306G.pdf")</f>
        <v>https://www.diodes.com/datasheet/download/ZVN4306G.pdf</v>
      </c>
      <c r="C1971" t="str">
        <f>Hyperlink("https://www.diodes.com/part/view/ZVN4306G","ZVN4306G")</f>
        <v>ZVN4306G</v>
      </c>
      <c r="D1971" t="s">
        <v>26</v>
      </c>
      <c r="E1971" t="s">
        <v>27</v>
      </c>
      <c r="F1971" t="s">
        <v>28</v>
      </c>
      <c r="G1971" t="s">
        <v>29</v>
      </c>
      <c r="H1971" t="s">
        <v>30</v>
      </c>
      <c r="I1971">
        <v>60</v>
      </c>
      <c r="J1971">
        <v>20</v>
      </c>
      <c r="K1971">
        <v>2.1</v>
      </c>
      <c r="M1971">
        <v>3</v>
      </c>
      <c r="O1971">
        <v>330</v>
      </c>
      <c r="P1971" t="s">
        <v>3059</v>
      </c>
      <c r="T1971">
        <v>3</v>
      </c>
      <c r="W1971" t="s">
        <v>3060</v>
      </c>
      <c r="Y1971" t="s">
        <v>3028</v>
      </c>
    </row>
    <row r="1972" spans="1:25">
      <c r="A1972" t="s">
        <v>3063</v>
      </c>
      <c r="B1972" s="2" t="str">
        <f>Hyperlink("https://www.diodes.com/datasheet/download/ZVN4306GV.pdf")</f>
        <v>https://www.diodes.com/datasheet/download/ZVN4306GV.pdf</v>
      </c>
      <c r="C1972" t="str">
        <f>Hyperlink("https://www.diodes.com/part/view/ZVN4306GV","ZVN4306GV")</f>
        <v>ZVN4306GV</v>
      </c>
      <c r="D1972" t="s">
        <v>26</v>
      </c>
      <c r="E1972" t="s">
        <v>27</v>
      </c>
      <c r="F1972" t="s">
        <v>28</v>
      </c>
      <c r="G1972" t="s">
        <v>29</v>
      </c>
      <c r="H1972" t="s">
        <v>30</v>
      </c>
      <c r="I1972">
        <v>60</v>
      </c>
      <c r="J1972">
        <v>20</v>
      </c>
      <c r="K1972">
        <v>2.1</v>
      </c>
      <c r="M1972">
        <v>3</v>
      </c>
      <c r="O1972">
        <v>330</v>
      </c>
      <c r="P1972" t="s">
        <v>3059</v>
      </c>
      <c r="T1972">
        <v>3</v>
      </c>
      <c r="W1972" t="s">
        <v>3060</v>
      </c>
      <c r="Y1972" t="s">
        <v>3028</v>
      </c>
    </row>
    <row r="1973" spans="1:25">
      <c r="A1973" t="s">
        <v>3064</v>
      </c>
      <c r="B1973" s="2" t="str">
        <f>Hyperlink("https://www.diodes.com/datasheet/download/ZVN4310A.pdf")</f>
        <v>https://www.diodes.com/datasheet/download/ZVN4310A.pdf</v>
      </c>
      <c r="C1973" t="str">
        <f>Hyperlink("https://www.diodes.com/part/view/ZVN4310A","ZVN4310A")</f>
        <v>ZVN4310A</v>
      </c>
      <c r="D1973" t="s">
        <v>2947</v>
      </c>
      <c r="E1973" t="s">
        <v>27</v>
      </c>
      <c r="F1973" t="s">
        <v>28</v>
      </c>
      <c r="G1973" t="s">
        <v>29</v>
      </c>
      <c r="H1973" t="s">
        <v>30</v>
      </c>
      <c r="I1973">
        <v>100</v>
      </c>
      <c r="J1973">
        <v>20</v>
      </c>
      <c r="K1973">
        <v>0.9</v>
      </c>
      <c r="M1973">
        <v>0.85</v>
      </c>
      <c r="O1973">
        <v>500</v>
      </c>
      <c r="P1973" t="s">
        <v>3065</v>
      </c>
      <c r="T1973">
        <v>3</v>
      </c>
      <c r="W1973" t="s">
        <v>3060</v>
      </c>
      <c r="Y1973" t="s">
        <v>67</v>
      </c>
    </row>
    <row r="1974" spans="1:25">
      <c r="A1974" t="s">
        <v>3066</v>
      </c>
      <c r="B1974" s="2" t="str">
        <f>Hyperlink("https://www.diodes.com/datasheet/download/ZVN4310G.pdf")</f>
        <v>https://www.diodes.com/datasheet/download/ZVN4310G.pdf</v>
      </c>
      <c r="C1974" t="str">
        <f>Hyperlink("https://www.diodes.com/part/view/ZVN4310G","ZVN4310G")</f>
        <v>ZVN4310G</v>
      </c>
      <c r="D1974" t="s">
        <v>3067</v>
      </c>
      <c r="E1974" t="s">
        <v>27</v>
      </c>
      <c r="F1974" t="s">
        <v>28</v>
      </c>
      <c r="G1974" t="s">
        <v>29</v>
      </c>
      <c r="H1974" t="s">
        <v>30</v>
      </c>
      <c r="I1974">
        <v>100</v>
      </c>
      <c r="J1974">
        <v>20</v>
      </c>
      <c r="K1974">
        <v>1.67</v>
      </c>
      <c r="M1974">
        <v>3</v>
      </c>
      <c r="O1974">
        <v>540</v>
      </c>
      <c r="P1974" t="s">
        <v>3068</v>
      </c>
      <c r="T1974">
        <v>3</v>
      </c>
      <c r="W1974" t="s">
        <v>3060</v>
      </c>
      <c r="Y1974" t="s">
        <v>3028</v>
      </c>
    </row>
    <row r="1975" spans="1:25">
      <c r="A1975" t="s">
        <v>3069</v>
      </c>
      <c r="B1975" s="2" t="str">
        <f>Hyperlink("https://www.diodes.com/datasheet/download/ZVN4424A.pdf")</f>
        <v>https://www.diodes.com/datasheet/download/ZVN4424A.pdf</v>
      </c>
      <c r="C1975" t="str">
        <f>Hyperlink("https://www.diodes.com/part/view/ZVN4424A","ZVN4424A")</f>
        <v>ZVN4424A</v>
      </c>
      <c r="D1975" t="s">
        <v>3070</v>
      </c>
      <c r="E1975" t="s">
        <v>27</v>
      </c>
      <c r="F1975" t="s">
        <v>28</v>
      </c>
      <c r="G1975" t="s">
        <v>29</v>
      </c>
      <c r="H1975" t="s">
        <v>30</v>
      </c>
      <c r="I1975">
        <v>240</v>
      </c>
      <c r="J1975">
        <v>40</v>
      </c>
      <c r="K1975">
        <v>0.26</v>
      </c>
      <c r="M1975">
        <v>0.75</v>
      </c>
      <c r="O1975">
        <v>5500</v>
      </c>
      <c r="Q1975">
        <v>6000</v>
      </c>
      <c r="T1975">
        <v>1.8</v>
      </c>
      <c r="W1975" t="s">
        <v>3071</v>
      </c>
      <c r="Y1975" t="s">
        <v>67</v>
      </c>
    </row>
    <row r="1976" spans="1:25">
      <c r="A1976" t="s">
        <v>3072</v>
      </c>
      <c r="B1976" s="2" t="str">
        <f>Hyperlink("https://www.diodes.com/datasheet/download/ZVN4424G.pdf")</f>
        <v>https://www.diodes.com/datasheet/download/ZVN4424G.pdf</v>
      </c>
      <c r="C1976" t="str">
        <f>Hyperlink("https://www.diodes.com/part/view/ZVN4424G","ZVN4424G")</f>
        <v>ZVN4424G</v>
      </c>
      <c r="D1976" t="s">
        <v>26</v>
      </c>
      <c r="E1976" t="s">
        <v>27</v>
      </c>
      <c r="F1976" t="s">
        <v>28</v>
      </c>
      <c r="G1976" t="s">
        <v>29</v>
      </c>
      <c r="H1976" t="s">
        <v>30</v>
      </c>
      <c r="I1976">
        <v>240</v>
      </c>
      <c r="J1976">
        <v>40</v>
      </c>
      <c r="K1976">
        <v>0.5</v>
      </c>
      <c r="M1976">
        <v>2.5</v>
      </c>
      <c r="O1976">
        <v>5500</v>
      </c>
      <c r="Q1976">
        <v>6000</v>
      </c>
      <c r="T1976">
        <v>1.8</v>
      </c>
      <c r="W1976" t="s">
        <v>3071</v>
      </c>
      <c r="Y1976" t="s">
        <v>820</v>
      </c>
    </row>
    <row r="1977" spans="1:25">
      <c r="A1977" t="s">
        <v>3073</v>
      </c>
      <c r="B1977" s="2" t="str">
        <f>Hyperlink("https://www.diodes.com/datasheet/download/ZVN4525E6.pdf")</f>
        <v>https://www.diodes.com/datasheet/download/ZVN4525E6.pdf</v>
      </c>
      <c r="C1977" t="str">
        <f>Hyperlink("https://www.diodes.com/part/view/ZVN4525E6","ZVN4525E6")</f>
        <v>ZVN4525E6</v>
      </c>
      <c r="D1977" t="s">
        <v>26</v>
      </c>
      <c r="E1977" t="s">
        <v>27</v>
      </c>
      <c r="F1977" t="s">
        <v>28</v>
      </c>
      <c r="G1977" t="s">
        <v>29</v>
      </c>
      <c r="H1977" t="s">
        <v>30</v>
      </c>
      <c r="I1977">
        <v>250</v>
      </c>
      <c r="J1977">
        <v>40</v>
      </c>
      <c r="K1977">
        <v>0.23</v>
      </c>
      <c r="M1977">
        <v>1.1</v>
      </c>
      <c r="O1977">
        <v>8500</v>
      </c>
      <c r="P1977">
        <v>9000</v>
      </c>
      <c r="Q1977" t="s">
        <v>3074</v>
      </c>
      <c r="T1977">
        <v>1.8</v>
      </c>
      <c r="W1977" t="s">
        <v>3075</v>
      </c>
      <c r="Y1977" t="s">
        <v>339</v>
      </c>
    </row>
    <row r="1978" spans="1:25">
      <c r="A1978" t="s">
        <v>3076</v>
      </c>
      <c r="B1978" s="2" t="str">
        <f>Hyperlink("https://www.diodes.com/datasheet/download/ZVN4525G.pdf")</f>
        <v>https://www.diodes.com/datasheet/download/ZVN4525G.pdf</v>
      </c>
      <c r="C1978" t="str">
        <f>Hyperlink("https://www.diodes.com/part/view/ZVN4525G","ZVN4525G")</f>
        <v>ZVN4525G</v>
      </c>
      <c r="D1978" t="s">
        <v>26</v>
      </c>
      <c r="E1978" t="s">
        <v>27</v>
      </c>
      <c r="F1978" t="s">
        <v>28</v>
      </c>
      <c r="G1978" t="s">
        <v>29</v>
      </c>
      <c r="H1978" t="s">
        <v>30</v>
      </c>
      <c r="I1978">
        <v>250</v>
      </c>
      <c r="J1978">
        <v>40</v>
      </c>
      <c r="K1978">
        <v>0.31</v>
      </c>
      <c r="M1978">
        <v>2</v>
      </c>
      <c r="O1978">
        <v>8500</v>
      </c>
      <c r="P1978">
        <v>9000</v>
      </c>
      <c r="Q1978">
        <v>9500</v>
      </c>
      <c r="T1978">
        <v>1.8</v>
      </c>
      <c r="W1978" t="s">
        <v>3075</v>
      </c>
      <c r="Y1978" t="s">
        <v>3028</v>
      </c>
    </row>
    <row r="1979" spans="1:25">
      <c r="A1979" t="s">
        <v>3077</v>
      </c>
      <c r="B1979" s="2" t="str">
        <f>Hyperlink("https://www.diodes.com/datasheet/download/ZVN4525Z.pdf")</f>
        <v>https://www.diodes.com/datasheet/download/ZVN4525Z.pdf</v>
      </c>
      <c r="C1979" t="str">
        <f>Hyperlink("https://www.diodes.com/part/view/ZVN4525Z","ZVN4525Z")</f>
        <v>ZVN4525Z</v>
      </c>
      <c r="D1979" t="s">
        <v>26</v>
      </c>
      <c r="E1979" t="s">
        <v>27</v>
      </c>
      <c r="F1979" t="s">
        <v>28</v>
      </c>
      <c r="G1979" t="s">
        <v>29</v>
      </c>
      <c r="H1979" t="s">
        <v>30</v>
      </c>
      <c r="I1979">
        <v>250</v>
      </c>
      <c r="J1979">
        <v>40</v>
      </c>
      <c r="K1979">
        <v>0.24</v>
      </c>
      <c r="M1979">
        <v>1.2</v>
      </c>
      <c r="O1979">
        <v>8500</v>
      </c>
      <c r="P1979">
        <v>9000</v>
      </c>
      <c r="Q1979" t="s">
        <v>3074</v>
      </c>
      <c r="T1979">
        <v>1.8</v>
      </c>
      <c r="W1979" t="s">
        <v>3075</v>
      </c>
      <c r="Y1979" t="s">
        <v>1445</v>
      </c>
    </row>
    <row r="1980" spans="1:25">
      <c r="A1980" t="s">
        <v>3078</v>
      </c>
      <c r="B1980" s="2" t="str">
        <f>Hyperlink("https://www.diodes.com/datasheet/download/ZVNL110A.pdf")</f>
        <v>https://www.diodes.com/datasheet/download/ZVNL110A.pdf</v>
      </c>
      <c r="C1980" t="str">
        <f>Hyperlink("https://www.diodes.com/part/view/ZVNL110A","ZVNL110A")</f>
        <v>ZVNL110A</v>
      </c>
      <c r="D1980" t="s">
        <v>2947</v>
      </c>
      <c r="E1980" t="s">
        <v>27</v>
      </c>
      <c r="F1980" t="s">
        <v>28</v>
      </c>
      <c r="G1980" t="s">
        <v>29</v>
      </c>
      <c r="H1980" t="s">
        <v>30</v>
      </c>
      <c r="I1980">
        <v>100</v>
      </c>
      <c r="J1980">
        <v>20</v>
      </c>
      <c r="K1980">
        <v>0.32</v>
      </c>
      <c r="M1980">
        <v>0.7</v>
      </c>
      <c r="O1980">
        <v>3000</v>
      </c>
      <c r="P1980" t="s">
        <v>3079</v>
      </c>
      <c r="T1980">
        <v>1.5</v>
      </c>
      <c r="W1980" t="s">
        <v>3033</v>
      </c>
      <c r="Y1980" t="s">
        <v>67</v>
      </c>
    </row>
    <row r="1981" spans="1:25">
      <c r="A1981" t="s">
        <v>3080</v>
      </c>
      <c r="B1981" s="2" t="str">
        <f>Hyperlink("https://www.diodes.com/datasheet/download/ZVNL110G.pdf")</f>
        <v>https://www.diodes.com/datasheet/download/ZVNL110G.pdf</v>
      </c>
      <c r="C1981" t="str">
        <f>Hyperlink("https://www.diodes.com/part/view/ZVNL110G","ZVNL110G")</f>
        <v>ZVNL110G</v>
      </c>
      <c r="D1981" t="s">
        <v>26</v>
      </c>
      <c r="E1981" t="s">
        <v>27</v>
      </c>
      <c r="F1981" t="s">
        <v>28</v>
      </c>
      <c r="G1981" t="s">
        <v>29</v>
      </c>
      <c r="H1981" t="s">
        <v>30</v>
      </c>
      <c r="I1981">
        <v>100</v>
      </c>
      <c r="J1981">
        <v>20</v>
      </c>
      <c r="K1981">
        <v>0.6</v>
      </c>
      <c r="M1981">
        <v>2</v>
      </c>
      <c r="O1981">
        <v>3000</v>
      </c>
      <c r="P1981" t="s">
        <v>3079</v>
      </c>
      <c r="T1981">
        <v>1.5</v>
      </c>
      <c r="W1981" t="s">
        <v>3081</v>
      </c>
      <c r="Y1981" t="s">
        <v>3028</v>
      </c>
    </row>
    <row r="1982" spans="1:25">
      <c r="A1982" t="s">
        <v>3082</v>
      </c>
      <c r="B1982" s="2" t="str">
        <f>Hyperlink("https://www.diodes.com/datasheet/download/ZVNL120A.pdf")</f>
        <v>https://www.diodes.com/datasheet/download/ZVNL120A.pdf</v>
      </c>
      <c r="C1982" t="str">
        <f>Hyperlink("https://www.diodes.com/part/view/ZVNL120A","ZVNL120A")</f>
        <v>ZVNL120A</v>
      </c>
      <c r="D1982" t="s">
        <v>2947</v>
      </c>
      <c r="E1982" t="s">
        <v>27</v>
      </c>
      <c r="F1982" t="s">
        <v>28</v>
      </c>
      <c r="G1982" t="s">
        <v>29</v>
      </c>
      <c r="H1982" t="s">
        <v>30</v>
      </c>
      <c r="I1982">
        <v>200</v>
      </c>
      <c r="J1982">
        <v>20</v>
      </c>
      <c r="K1982">
        <v>0.18</v>
      </c>
      <c r="M1982">
        <v>0.7</v>
      </c>
      <c r="P1982" t="s">
        <v>128</v>
      </c>
      <c r="Q1982" t="s">
        <v>3083</v>
      </c>
      <c r="T1982">
        <v>1.5</v>
      </c>
      <c r="W1982" t="s">
        <v>66</v>
      </c>
      <c r="Y1982" t="s">
        <v>67</v>
      </c>
    </row>
    <row r="1983" spans="1:25">
      <c r="A1983" t="s">
        <v>3084</v>
      </c>
      <c r="B1983" s="2" t="str">
        <f>Hyperlink("https://www.diodes.com/datasheet/download/ZVNL120G.pdf")</f>
        <v>https://www.diodes.com/datasheet/download/ZVNL120G.pdf</v>
      </c>
      <c r="C1983" t="str">
        <f>Hyperlink("https://www.diodes.com/part/view/ZVNL120G","ZVNL120G")</f>
        <v>ZVNL120G</v>
      </c>
      <c r="D1983" t="s">
        <v>26</v>
      </c>
      <c r="E1983" t="s">
        <v>27</v>
      </c>
      <c r="F1983" t="s">
        <v>28</v>
      </c>
      <c r="G1983" t="s">
        <v>29</v>
      </c>
      <c r="H1983" t="s">
        <v>30</v>
      </c>
      <c r="I1983">
        <v>200</v>
      </c>
      <c r="J1983">
        <v>20</v>
      </c>
      <c r="K1983">
        <v>0.32</v>
      </c>
      <c r="M1983">
        <v>2</v>
      </c>
      <c r="P1983" t="s">
        <v>128</v>
      </c>
      <c r="Q1983" t="s">
        <v>3083</v>
      </c>
      <c r="T1983">
        <v>1.5</v>
      </c>
      <c r="W1983" t="s">
        <v>66</v>
      </c>
      <c r="Y1983" t="s">
        <v>3028</v>
      </c>
    </row>
    <row r="1984" spans="1:25">
      <c r="A1984" t="s">
        <v>3085</v>
      </c>
      <c r="B1984" s="2" t="str">
        <f>Hyperlink("https://www.diodes.com/datasheet/download/ZVP0545A.pdf")</f>
        <v>https://www.diodes.com/datasheet/download/ZVP0545A.pdf</v>
      </c>
      <c r="C1984" t="str">
        <f>Hyperlink("https://www.diodes.com/part/view/ZVP0545A","ZVP0545A")</f>
        <v>ZVP0545A</v>
      </c>
      <c r="D1984" t="s">
        <v>78</v>
      </c>
      <c r="E1984" t="s">
        <v>27</v>
      </c>
      <c r="F1984" t="s">
        <v>28</v>
      </c>
      <c r="G1984" t="s">
        <v>75</v>
      </c>
      <c r="H1984" t="s">
        <v>30</v>
      </c>
      <c r="I1984">
        <v>450</v>
      </c>
      <c r="J1984">
        <v>20</v>
      </c>
      <c r="K1984">
        <v>0.045</v>
      </c>
      <c r="M1984">
        <v>0.7</v>
      </c>
      <c r="O1984">
        <v>150000</v>
      </c>
      <c r="T1984">
        <v>4.5</v>
      </c>
      <c r="W1984" t="s">
        <v>3086</v>
      </c>
      <c r="Y1984" t="s">
        <v>67</v>
      </c>
    </row>
    <row r="1985" spans="1:25">
      <c r="A1985" t="s">
        <v>3087</v>
      </c>
      <c r="B1985" s="2" t="str">
        <f>Hyperlink("https://www.diodes.com/datasheet/download/ZVP0545G.pdf")</f>
        <v>https://www.diodes.com/datasheet/download/ZVP0545G.pdf</v>
      </c>
      <c r="C1985" t="str">
        <f>Hyperlink("https://www.diodes.com/part/view/ZVP0545G","ZVP0545G")</f>
        <v>ZVP0545G</v>
      </c>
      <c r="D1985" t="s">
        <v>74</v>
      </c>
      <c r="E1985" t="s">
        <v>27</v>
      </c>
      <c r="F1985" t="s">
        <v>28</v>
      </c>
      <c r="G1985" t="s">
        <v>75</v>
      </c>
      <c r="H1985" t="s">
        <v>30</v>
      </c>
      <c r="I1985">
        <v>450</v>
      </c>
      <c r="J1985">
        <v>20</v>
      </c>
      <c r="K1985">
        <v>0.075</v>
      </c>
      <c r="M1985">
        <v>2</v>
      </c>
      <c r="O1985">
        <v>150000</v>
      </c>
      <c r="T1985">
        <v>4.5</v>
      </c>
      <c r="W1985" t="s">
        <v>3086</v>
      </c>
      <c r="Y1985" t="s">
        <v>3028</v>
      </c>
    </row>
    <row r="1986" spans="1:25">
      <c r="A1986" t="s">
        <v>3088</v>
      </c>
      <c r="B1986" s="2" t="str">
        <f>Hyperlink("https://www.diodes.com/datasheet/download/ZVP1320F.pdf")</f>
        <v>https://www.diodes.com/datasheet/download/ZVP1320F.pdf</v>
      </c>
      <c r="C1986" t="str">
        <f>Hyperlink("https://www.diodes.com/part/view/ZVP1320F","ZVP1320F")</f>
        <v>ZVP1320F</v>
      </c>
      <c r="D1986" t="s">
        <v>74</v>
      </c>
      <c r="E1986" t="s">
        <v>27</v>
      </c>
      <c r="F1986" t="s">
        <v>28</v>
      </c>
      <c r="G1986" t="s">
        <v>75</v>
      </c>
      <c r="H1986" t="s">
        <v>30</v>
      </c>
      <c r="I1986">
        <v>200</v>
      </c>
      <c r="J1986">
        <v>20</v>
      </c>
      <c r="K1986">
        <v>0.035</v>
      </c>
      <c r="M1986">
        <v>0.35</v>
      </c>
      <c r="O1986">
        <v>80000</v>
      </c>
      <c r="T1986">
        <v>3.5</v>
      </c>
      <c r="W1986" t="s">
        <v>59</v>
      </c>
      <c r="Y1986" t="s">
        <v>35</v>
      </c>
    </row>
    <row r="1987" spans="1:25">
      <c r="A1987" t="s">
        <v>3089</v>
      </c>
      <c r="B1987" s="2" t="str">
        <f>Hyperlink("https://www.diodes.com/datasheet/download/ZVP1320FQ.pdf")</f>
        <v>https://www.diodes.com/datasheet/download/ZVP1320FQ.pdf</v>
      </c>
      <c r="C1987" t="str">
        <f>Hyperlink("https://www.diodes.com/part/view/ZVP1320FQ","ZVP1320FQ")</f>
        <v>ZVP1320FQ</v>
      </c>
      <c r="D1987" t="s">
        <v>74</v>
      </c>
      <c r="E1987" t="s">
        <v>27</v>
      </c>
      <c r="F1987" t="s">
        <v>37</v>
      </c>
      <c r="G1987" t="s">
        <v>75</v>
      </c>
      <c r="H1987" t="s">
        <v>30</v>
      </c>
      <c r="I1987">
        <v>200</v>
      </c>
      <c r="J1987">
        <v>20</v>
      </c>
      <c r="K1987">
        <v>0.212</v>
      </c>
      <c r="M1987">
        <v>0.7</v>
      </c>
      <c r="O1987">
        <v>80000</v>
      </c>
      <c r="T1987">
        <v>3.5</v>
      </c>
      <c r="V1987">
        <v>1.2</v>
      </c>
      <c r="W1987">
        <v>25</v>
      </c>
      <c r="X1987">
        <v>100</v>
      </c>
      <c r="Y1987" t="s">
        <v>35</v>
      </c>
    </row>
    <row r="1988" spans="1:25">
      <c r="A1988" t="s">
        <v>3090</v>
      </c>
      <c r="B1988" s="2" t="str">
        <f>Hyperlink("https://www.diodes.com/datasheet/download/ZVP2106A.pdf")</f>
        <v>https://www.diodes.com/datasheet/download/ZVP2106A.pdf</v>
      </c>
      <c r="C1988" t="str">
        <f>Hyperlink("https://www.diodes.com/part/view/ZVP2106A","ZVP2106A")</f>
        <v>ZVP2106A</v>
      </c>
      <c r="D1988" t="s">
        <v>78</v>
      </c>
      <c r="E1988" t="s">
        <v>27</v>
      </c>
      <c r="F1988" t="s">
        <v>28</v>
      </c>
      <c r="G1988" t="s">
        <v>75</v>
      </c>
      <c r="H1988" t="s">
        <v>30</v>
      </c>
      <c r="I1988">
        <v>60</v>
      </c>
      <c r="J1988">
        <v>20</v>
      </c>
      <c r="K1988">
        <v>0.28</v>
      </c>
      <c r="M1988">
        <v>0.7</v>
      </c>
      <c r="O1988">
        <v>5000</v>
      </c>
      <c r="T1988">
        <v>3.5</v>
      </c>
      <c r="W1988" t="s">
        <v>3091</v>
      </c>
      <c r="X1988">
        <v>18</v>
      </c>
      <c r="Y1988" t="s">
        <v>67</v>
      </c>
    </row>
    <row r="1989" spans="1:25">
      <c r="A1989" t="s">
        <v>3092</v>
      </c>
      <c r="B1989" s="2" t="str">
        <f>Hyperlink("https://www.diodes.com/datasheet/download/ZVP2106G.pdf")</f>
        <v>https://www.diodes.com/datasheet/download/ZVP2106G.pdf</v>
      </c>
      <c r="C1989" t="str">
        <f>Hyperlink("https://www.diodes.com/part/view/ZVP2106G","ZVP2106G")</f>
        <v>ZVP2106G</v>
      </c>
      <c r="D1989" t="s">
        <v>74</v>
      </c>
      <c r="E1989" t="s">
        <v>27</v>
      </c>
      <c r="F1989" t="s">
        <v>28</v>
      </c>
      <c r="G1989" t="s">
        <v>75</v>
      </c>
      <c r="H1989" t="s">
        <v>30</v>
      </c>
      <c r="I1989">
        <v>60</v>
      </c>
      <c r="J1989">
        <v>20</v>
      </c>
      <c r="K1989">
        <v>0.45</v>
      </c>
      <c r="M1989">
        <v>2</v>
      </c>
      <c r="O1989">
        <v>5000</v>
      </c>
      <c r="T1989">
        <v>3.5</v>
      </c>
      <c r="W1989" t="s">
        <v>3093</v>
      </c>
      <c r="X1989">
        <v>18</v>
      </c>
      <c r="Y1989" t="s">
        <v>3028</v>
      </c>
    </row>
    <row r="1990" spans="1:25">
      <c r="A1990" t="s">
        <v>3094</v>
      </c>
      <c r="B1990" s="2" t="str">
        <f>Hyperlink("https://www.diodes.com/datasheet/download/ZVP2110A.pdf")</f>
        <v>https://www.diodes.com/datasheet/download/ZVP2110A.pdf</v>
      </c>
      <c r="C1990" t="str">
        <f>Hyperlink("https://www.diodes.com/part/view/ZVP2110A","ZVP2110A")</f>
        <v>ZVP2110A</v>
      </c>
      <c r="D1990" t="s">
        <v>78</v>
      </c>
      <c r="E1990" t="s">
        <v>27</v>
      </c>
      <c r="F1990" t="s">
        <v>28</v>
      </c>
      <c r="G1990" t="s">
        <v>75</v>
      </c>
      <c r="H1990" t="s">
        <v>30</v>
      </c>
      <c r="I1990">
        <v>100</v>
      </c>
      <c r="J1990">
        <v>20</v>
      </c>
      <c r="K1990">
        <v>0.23</v>
      </c>
      <c r="M1990">
        <v>0.7</v>
      </c>
      <c r="O1990">
        <v>8000</v>
      </c>
      <c r="T1990">
        <v>3.5</v>
      </c>
      <c r="W1990" t="s">
        <v>3052</v>
      </c>
      <c r="Y1990" t="s">
        <v>67</v>
      </c>
    </row>
    <row r="1991" spans="1:25">
      <c r="A1991" t="s">
        <v>3095</v>
      </c>
      <c r="B1991" s="2" t="str">
        <f>Hyperlink("https://www.diodes.com/datasheet/download/ZVP2110G.pdf")</f>
        <v>https://www.diodes.com/datasheet/download/ZVP2110G.pdf</v>
      </c>
      <c r="C1991" t="str">
        <f>Hyperlink("https://www.diodes.com/part/view/ZVP2110G","ZVP2110G")</f>
        <v>ZVP2110G</v>
      </c>
      <c r="D1991" t="s">
        <v>74</v>
      </c>
      <c r="E1991" t="s">
        <v>27</v>
      </c>
      <c r="F1991" t="s">
        <v>28</v>
      </c>
      <c r="G1991" t="s">
        <v>75</v>
      </c>
      <c r="H1991" t="s">
        <v>30</v>
      </c>
      <c r="I1991">
        <v>100</v>
      </c>
      <c r="J1991">
        <v>20</v>
      </c>
      <c r="K1991">
        <v>0.31</v>
      </c>
      <c r="M1991">
        <v>2</v>
      </c>
      <c r="O1991">
        <v>8000</v>
      </c>
      <c r="T1991">
        <v>3.5</v>
      </c>
      <c r="W1991" t="s">
        <v>3052</v>
      </c>
      <c r="Y1991" t="s">
        <v>3028</v>
      </c>
    </row>
    <row r="1992" spans="1:25">
      <c r="A1992" t="s">
        <v>3096</v>
      </c>
      <c r="B1992" s="2" t="str">
        <f>Hyperlink("https://www.diodes.com/datasheet/download/ZVP2120A.pdf")</f>
        <v>https://www.diodes.com/datasheet/download/ZVP2120A.pdf</v>
      </c>
      <c r="C1992" t="str">
        <f>Hyperlink("https://www.diodes.com/part/view/ZVP2120A","ZVP2120A")</f>
        <v>ZVP2120A</v>
      </c>
      <c r="D1992" t="s">
        <v>78</v>
      </c>
      <c r="E1992" t="s">
        <v>27</v>
      </c>
      <c r="F1992" t="s">
        <v>28</v>
      </c>
      <c r="G1992" t="s">
        <v>75</v>
      </c>
      <c r="H1992" t="s">
        <v>30</v>
      </c>
      <c r="I1992">
        <v>200</v>
      </c>
      <c r="J1992">
        <v>20</v>
      </c>
      <c r="K1992">
        <v>0.12</v>
      </c>
      <c r="M1992">
        <v>0.7</v>
      </c>
      <c r="O1992">
        <v>25000</v>
      </c>
      <c r="T1992">
        <v>3.5</v>
      </c>
      <c r="W1992" t="s">
        <v>3052</v>
      </c>
      <c r="Y1992" t="s">
        <v>67</v>
      </c>
    </row>
    <row r="1993" spans="1:25">
      <c r="A1993" t="s">
        <v>3097</v>
      </c>
      <c r="B1993" s="2" t="str">
        <f>Hyperlink("https://www.diodes.com/datasheet/download/ZVP2120G.pdf")</f>
        <v>https://www.diodes.com/datasheet/download/ZVP2120G.pdf</v>
      </c>
      <c r="C1993" t="str">
        <f>Hyperlink("https://www.diodes.com/part/view/ZVP2120G","ZVP2120G")</f>
        <v>ZVP2120G</v>
      </c>
      <c r="D1993" t="s">
        <v>74</v>
      </c>
      <c r="E1993" t="s">
        <v>27</v>
      </c>
      <c r="F1993" t="s">
        <v>28</v>
      </c>
      <c r="G1993" t="s">
        <v>75</v>
      </c>
      <c r="H1993" t="s">
        <v>30</v>
      </c>
      <c r="I1993">
        <v>200</v>
      </c>
      <c r="J1993">
        <v>20</v>
      </c>
      <c r="K1993">
        <v>0.2</v>
      </c>
      <c r="M1993">
        <v>2</v>
      </c>
      <c r="O1993">
        <v>25000</v>
      </c>
      <c r="T1993">
        <v>3.5</v>
      </c>
      <c r="W1993" t="s">
        <v>3052</v>
      </c>
      <c r="Y1993" t="s">
        <v>3028</v>
      </c>
    </row>
    <row r="1994" spans="1:25">
      <c r="A1994" t="s">
        <v>3098</v>
      </c>
      <c r="B1994" s="2" t="str">
        <f>Hyperlink("https://www.diodes.com/datasheet/download/ZVP3306A.pdf")</f>
        <v>https://www.diodes.com/datasheet/download/ZVP3306A.pdf</v>
      </c>
      <c r="C1994" t="str">
        <f>Hyperlink("https://www.diodes.com/part/view/ZVP3306A","ZVP3306A")</f>
        <v>ZVP3306A</v>
      </c>
      <c r="D1994" t="s">
        <v>78</v>
      </c>
      <c r="E1994" t="s">
        <v>27</v>
      </c>
      <c r="F1994" t="s">
        <v>28</v>
      </c>
      <c r="G1994" t="s">
        <v>75</v>
      </c>
      <c r="H1994" t="s">
        <v>30</v>
      </c>
      <c r="I1994">
        <v>60</v>
      </c>
      <c r="J1994">
        <v>20</v>
      </c>
      <c r="K1994">
        <v>0.16</v>
      </c>
      <c r="M1994">
        <v>0.625</v>
      </c>
      <c r="O1994">
        <v>14000</v>
      </c>
      <c r="T1994">
        <v>3.5</v>
      </c>
      <c r="W1994" t="s">
        <v>3099</v>
      </c>
      <c r="Y1994" t="s">
        <v>67</v>
      </c>
    </row>
    <row r="1995" spans="1:25">
      <c r="A1995" t="s">
        <v>3100</v>
      </c>
      <c r="B1995" s="2" t="str">
        <f>Hyperlink("https://www.diodes.com/datasheet/download/ZVP3306F.pdf")</f>
        <v>https://www.diodes.com/datasheet/download/ZVP3306F.pdf</v>
      </c>
      <c r="C1995" t="str">
        <f>Hyperlink("https://www.diodes.com/part/view/ZVP3306F","ZVP3306F")</f>
        <v>ZVP3306F</v>
      </c>
      <c r="D1995" t="s">
        <v>74</v>
      </c>
      <c r="E1995" t="s">
        <v>27</v>
      </c>
      <c r="F1995" t="s">
        <v>28</v>
      </c>
      <c r="G1995" t="s">
        <v>75</v>
      </c>
      <c r="H1995" t="s">
        <v>30</v>
      </c>
      <c r="I1995">
        <v>60</v>
      </c>
      <c r="J1995">
        <v>20</v>
      </c>
      <c r="K1995">
        <v>0.09</v>
      </c>
      <c r="M1995">
        <v>0.33</v>
      </c>
      <c r="O1995">
        <v>14000</v>
      </c>
      <c r="T1995">
        <v>3.5</v>
      </c>
      <c r="W1995" t="s">
        <v>3099</v>
      </c>
      <c r="Y1995" t="s">
        <v>35</v>
      </c>
    </row>
    <row r="1996" spans="1:25">
      <c r="A1996" t="s">
        <v>3101</v>
      </c>
      <c r="B1996" s="2" t="str">
        <f>Hyperlink("https://www.diodes.com/datasheet/download/ZVP3310A.pdf")</f>
        <v>https://www.diodes.com/datasheet/download/ZVP3310A.pdf</v>
      </c>
      <c r="C1996" t="str">
        <f>Hyperlink("https://www.diodes.com/part/view/ZVP3310A","ZVP3310A")</f>
        <v>ZVP3310A</v>
      </c>
      <c r="D1996" t="s">
        <v>78</v>
      </c>
      <c r="E1996" t="s">
        <v>27</v>
      </c>
      <c r="F1996" t="s">
        <v>28</v>
      </c>
      <c r="G1996" t="s">
        <v>75</v>
      </c>
      <c r="H1996" t="s">
        <v>30</v>
      </c>
      <c r="I1996">
        <v>100</v>
      </c>
      <c r="J1996">
        <v>20</v>
      </c>
      <c r="K1996">
        <v>0.14</v>
      </c>
      <c r="M1996">
        <v>0.625</v>
      </c>
      <c r="O1996">
        <v>20000</v>
      </c>
      <c r="T1996">
        <v>3.5</v>
      </c>
      <c r="W1996" t="s">
        <v>59</v>
      </c>
      <c r="Y1996" t="s">
        <v>67</v>
      </c>
    </row>
    <row r="1997" spans="1:25">
      <c r="A1997" t="s">
        <v>3102</v>
      </c>
      <c r="B1997" s="2" t="str">
        <f>Hyperlink("https://www.diodes.com/datasheet/download/ZVP3310F.pdf")</f>
        <v>https://www.diodes.com/datasheet/download/ZVP3310F.pdf</v>
      </c>
      <c r="C1997" t="str">
        <f>Hyperlink("https://www.diodes.com/part/view/ZVP3310F","ZVP3310F")</f>
        <v>ZVP3310F</v>
      </c>
      <c r="D1997" t="s">
        <v>74</v>
      </c>
      <c r="E1997" t="s">
        <v>27</v>
      </c>
      <c r="F1997" t="s">
        <v>28</v>
      </c>
      <c r="G1997" t="s">
        <v>75</v>
      </c>
      <c r="H1997" t="s">
        <v>30</v>
      </c>
      <c r="I1997">
        <v>100</v>
      </c>
      <c r="J1997">
        <v>20</v>
      </c>
      <c r="K1997">
        <v>0.075</v>
      </c>
      <c r="M1997">
        <v>0.33</v>
      </c>
      <c r="O1997">
        <v>20000</v>
      </c>
      <c r="T1997">
        <v>3.5</v>
      </c>
      <c r="W1997" t="s">
        <v>59</v>
      </c>
      <c r="Y1997" t="s">
        <v>35</v>
      </c>
    </row>
    <row r="1998" spans="1:25">
      <c r="A1998" t="s">
        <v>3103</v>
      </c>
      <c r="B1998" s="2" t="str">
        <f>Hyperlink("https://www.diodes.com/datasheet/download/ZVP3310FQ.pdf")</f>
        <v>https://www.diodes.com/datasheet/download/ZVP3310FQ.pdf</v>
      </c>
      <c r="C1998" t="str">
        <f>Hyperlink("https://www.diodes.com/part/view/ZVP3310FQ","ZVP3310FQ")</f>
        <v>ZVP3310FQ</v>
      </c>
      <c r="D1998" t="s">
        <v>3104</v>
      </c>
      <c r="E1998" t="s">
        <v>27</v>
      </c>
      <c r="F1998" t="s">
        <v>37</v>
      </c>
      <c r="G1998" t="s">
        <v>75</v>
      </c>
      <c r="H1998" t="s">
        <v>30</v>
      </c>
      <c r="I1998">
        <v>100</v>
      </c>
      <c r="J1998">
        <v>20</v>
      </c>
      <c r="K1998">
        <v>0.075</v>
      </c>
      <c r="M1998">
        <v>0.33</v>
      </c>
      <c r="O1998">
        <v>20000</v>
      </c>
      <c r="S1998">
        <v>1.5</v>
      </c>
      <c r="T1998">
        <v>3.5</v>
      </c>
      <c r="W1998">
        <v>50</v>
      </c>
      <c r="X1998">
        <v>25</v>
      </c>
      <c r="Y1998" t="s">
        <v>35</v>
      </c>
    </row>
    <row r="1999" spans="1:25">
      <c r="A1999" t="s">
        <v>3105</v>
      </c>
      <c r="B1999" s="2" t="str">
        <f>Hyperlink("https://www.diodes.com/datasheet/download/ZVP4424A.pdf")</f>
        <v>https://www.diodes.com/datasheet/download/ZVP4424A.pdf</v>
      </c>
      <c r="C1999" t="str">
        <f>Hyperlink("https://www.diodes.com/part/view/ZVP4424A","ZVP4424A")</f>
        <v>ZVP4424A</v>
      </c>
      <c r="D1999" t="s">
        <v>78</v>
      </c>
      <c r="E1999" t="s">
        <v>27</v>
      </c>
      <c r="F1999" t="s">
        <v>28</v>
      </c>
      <c r="G1999" t="s">
        <v>75</v>
      </c>
      <c r="H1999" t="s">
        <v>30</v>
      </c>
      <c r="I1999">
        <v>240</v>
      </c>
      <c r="J1999">
        <v>40</v>
      </c>
      <c r="K1999">
        <v>0.2</v>
      </c>
      <c r="M1999">
        <v>0.75</v>
      </c>
      <c r="O1999">
        <v>9000</v>
      </c>
      <c r="Q1999" t="s">
        <v>3106</v>
      </c>
      <c r="T1999">
        <v>2</v>
      </c>
      <c r="W1999" t="s">
        <v>3052</v>
      </c>
      <c r="Y1999" t="s">
        <v>67</v>
      </c>
    </row>
    <row r="2000" spans="1:25">
      <c r="A2000" t="s">
        <v>3107</v>
      </c>
      <c r="B2000" s="2" t="str">
        <f>Hyperlink("https://www.diodes.com/datasheet/download/ZVP4424G.pdf")</f>
        <v>https://www.diodes.com/datasheet/download/ZVP4424G.pdf</v>
      </c>
      <c r="C2000" t="str">
        <f>Hyperlink("https://www.diodes.com/part/view/ZVP4424G","ZVP4424G")</f>
        <v>ZVP4424G</v>
      </c>
      <c r="D2000" t="s">
        <v>74</v>
      </c>
      <c r="E2000" t="s">
        <v>27</v>
      </c>
      <c r="F2000" t="s">
        <v>28</v>
      </c>
      <c r="G2000" t="s">
        <v>75</v>
      </c>
      <c r="H2000" t="s">
        <v>30</v>
      </c>
      <c r="I2000">
        <v>240</v>
      </c>
      <c r="J2000">
        <v>40</v>
      </c>
      <c r="K2000">
        <v>0.48</v>
      </c>
      <c r="M2000">
        <v>2.5</v>
      </c>
      <c r="O2000">
        <v>9000</v>
      </c>
      <c r="Q2000" t="s">
        <v>3106</v>
      </c>
      <c r="T2000">
        <v>2</v>
      </c>
      <c r="W2000" t="s">
        <v>3052</v>
      </c>
      <c r="Y2000" t="s">
        <v>820</v>
      </c>
    </row>
    <row r="2001" spans="1:25">
      <c r="A2001" t="s">
        <v>3108</v>
      </c>
      <c r="B2001" s="2" t="str">
        <f>Hyperlink("https://www.diodes.com/datasheet/download/ZVP4424Z.pdf")</f>
        <v>https://www.diodes.com/datasheet/download/ZVP4424Z.pdf</v>
      </c>
      <c r="C2001" t="str">
        <f>Hyperlink("https://www.diodes.com/part/view/ZVP4424Z","ZVP4424Z")</f>
        <v>ZVP4424Z</v>
      </c>
      <c r="D2001" t="s">
        <v>74</v>
      </c>
      <c r="E2001" t="s">
        <v>27</v>
      </c>
      <c r="F2001" t="s">
        <v>28</v>
      </c>
      <c r="G2001" t="s">
        <v>75</v>
      </c>
      <c r="H2001" t="s">
        <v>30</v>
      </c>
      <c r="I2001">
        <v>240</v>
      </c>
      <c r="J2001">
        <v>40</v>
      </c>
      <c r="K2001">
        <v>0.2</v>
      </c>
      <c r="M2001">
        <v>2.6</v>
      </c>
      <c r="O2001">
        <v>9000</v>
      </c>
      <c r="Q2001" t="s">
        <v>3106</v>
      </c>
      <c r="T2001">
        <v>2</v>
      </c>
      <c r="W2001" t="s">
        <v>3052</v>
      </c>
      <c r="Y2001" t="s">
        <v>1445</v>
      </c>
    </row>
    <row r="2002" spans="1:25">
      <c r="A2002" t="s">
        <v>3109</v>
      </c>
      <c r="B2002" s="2" t="str">
        <f>Hyperlink("https://www.diodes.com/datasheet/download/ZVP4525E6.pdf")</f>
        <v>https://www.diodes.com/datasheet/download/ZVP4525E6.pdf</v>
      </c>
      <c r="C2002" t="str">
        <f>Hyperlink("https://www.diodes.com/part/view/ZVP4525E6","ZVP4525E6")</f>
        <v>ZVP4525E6</v>
      </c>
      <c r="D2002" t="s">
        <v>74</v>
      </c>
      <c r="E2002" t="s">
        <v>27</v>
      </c>
      <c r="F2002" t="s">
        <v>28</v>
      </c>
      <c r="G2002" t="s">
        <v>75</v>
      </c>
      <c r="H2002" t="s">
        <v>30</v>
      </c>
      <c r="I2002">
        <v>250</v>
      </c>
      <c r="J2002">
        <v>40</v>
      </c>
      <c r="K2002">
        <v>0.197</v>
      </c>
      <c r="M2002">
        <v>1.1</v>
      </c>
      <c r="O2002">
        <v>14000</v>
      </c>
      <c r="Q2002" t="s">
        <v>1854</v>
      </c>
      <c r="T2002">
        <v>2</v>
      </c>
      <c r="V2002">
        <v>2.45</v>
      </c>
      <c r="W2002" t="s">
        <v>3110</v>
      </c>
      <c r="Y2002" t="s">
        <v>339</v>
      </c>
    </row>
    <row r="2003" spans="1:25">
      <c r="A2003" t="s">
        <v>3111</v>
      </c>
      <c r="B2003" s="2" t="str">
        <f>Hyperlink("https://www.diodes.com/datasheet/download/ZVP4525G.pdf")</f>
        <v>https://www.diodes.com/datasheet/download/ZVP4525G.pdf</v>
      </c>
      <c r="C2003" t="str">
        <f>Hyperlink("https://www.diodes.com/part/view/ZVP4525G","ZVP4525G")</f>
        <v>ZVP4525G</v>
      </c>
      <c r="D2003" t="s">
        <v>74</v>
      </c>
      <c r="E2003" t="s">
        <v>27</v>
      </c>
      <c r="F2003" t="s">
        <v>28</v>
      </c>
      <c r="G2003" t="s">
        <v>75</v>
      </c>
      <c r="H2003" t="s">
        <v>30</v>
      </c>
      <c r="I2003">
        <v>250</v>
      </c>
      <c r="J2003">
        <v>40</v>
      </c>
      <c r="K2003">
        <v>0.265</v>
      </c>
      <c r="M2003">
        <v>2</v>
      </c>
      <c r="O2003">
        <v>14000</v>
      </c>
      <c r="S2003">
        <v>0.8</v>
      </c>
      <c r="T2003">
        <v>2</v>
      </c>
      <c r="V2003">
        <v>3</v>
      </c>
      <c r="W2003">
        <v>82</v>
      </c>
      <c r="X2003">
        <v>25</v>
      </c>
      <c r="Y2003" t="s">
        <v>3028</v>
      </c>
    </row>
    <row r="2004" spans="1:25">
      <c r="A2004" t="s">
        <v>3112</v>
      </c>
      <c r="B2004" s="2" t="str">
        <f>Hyperlink("https://www.diodes.com/datasheet/download/ZVP4525GQ.pdf")</f>
        <v>https://www.diodes.com/datasheet/download/ZVP4525GQ.pdf</v>
      </c>
      <c r="C2004" t="str">
        <f>Hyperlink("https://www.diodes.com/part/view/ZVP4525GQ","ZVP4525GQ")</f>
        <v>ZVP4525GQ</v>
      </c>
      <c r="D2004" t="s">
        <v>3113</v>
      </c>
      <c r="E2004" t="s">
        <v>27</v>
      </c>
      <c r="F2004" t="s">
        <v>37</v>
      </c>
      <c r="G2004" t="s">
        <v>75</v>
      </c>
      <c r="H2004" t="s">
        <v>30</v>
      </c>
      <c r="I2004">
        <v>250</v>
      </c>
      <c r="J2004">
        <v>40</v>
      </c>
      <c r="K2004">
        <v>0.265</v>
      </c>
      <c r="M2004">
        <v>2</v>
      </c>
      <c r="O2004">
        <v>14000</v>
      </c>
      <c r="S2004">
        <v>0.8</v>
      </c>
      <c r="T2004">
        <v>2</v>
      </c>
      <c r="V2004">
        <v>3</v>
      </c>
      <c r="W2004">
        <v>82</v>
      </c>
      <c r="X2004">
        <v>25</v>
      </c>
      <c r="Y2004" t="s">
        <v>3028</v>
      </c>
    </row>
    <row r="2005" spans="1:25">
      <c r="A2005" t="s">
        <v>3114</v>
      </c>
      <c r="B2005" s="2" t="str">
        <f>Hyperlink("https://www.diodes.com/datasheet/download/ZVP4525Z.pdf")</f>
        <v>https://www.diodes.com/datasheet/download/ZVP4525Z.pdf</v>
      </c>
      <c r="C2005" t="str">
        <f>Hyperlink("https://www.diodes.com/part/view/ZVP4525Z","ZVP4525Z")</f>
        <v>ZVP4525Z</v>
      </c>
      <c r="D2005" t="s">
        <v>74</v>
      </c>
      <c r="E2005" t="s">
        <v>27</v>
      </c>
      <c r="F2005" t="s">
        <v>28</v>
      </c>
      <c r="G2005" t="s">
        <v>75</v>
      </c>
      <c r="H2005" t="s">
        <v>30</v>
      </c>
      <c r="I2005">
        <v>250</v>
      </c>
      <c r="J2005">
        <v>40</v>
      </c>
      <c r="K2005">
        <v>0.205</v>
      </c>
      <c r="M2005">
        <v>1.2</v>
      </c>
      <c r="O2005">
        <v>14000</v>
      </c>
      <c r="Q2005" t="s">
        <v>1854</v>
      </c>
      <c r="T2005">
        <v>2</v>
      </c>
      <c r="V2005">
        <v>2.45</v>
      </c>
      <c r="W2005" t="s">
        <v>3110</v>
      </c>
      <c r="Y2005" t="s">
        <v>1445</v>
      </c>
    </row>
    <row r="2006" spans="1:25">
      <c r="A2006" t="s">
        <v>3115</v>
      </c>
      <c r="B2006" s="2" t="str">
        <f>Hyperlink("https://www.diodes.com/datasheet/download/ZXM61N02F.pdf")</f>
        <v>https://www.diodes.com/datasheet/download/ZXM61N02F.pdf</v>
      </c>
      <c r="C2006" t="str">
        <f>Hyperlink("https://www.diodes.com/part/view/ZXM61N02F","ZXM61N02F")</f>
        <v>ZXM61N02F</v>
      </c>
      <c r="D2006" t="s">
        <v>631</v>
      </c>
      <c r="E2006" t="s">
        <v>27</v>
      </c>
      <c r="F2006" t="s">
        <v>28</v>
      </c>
      <c r="G2006" t="s">
        <v>29</v>
      </c>
      <c r="H2006" t="s">
        <v>30</v>
      </c>
      <c r="I2006">
        <v>20</v>
      </c>
      <c r="J2006">
        <v>12</v>
      </c>
      <c r="K2006">
        <v>1.7</v>
      </c>
      <c r="M2006">
        <v>0.625</v>
      </c>
      <c r="P2006">
        <v>180</v>
      </c>
      <c r="Q2006" t="s">
        <v>3116</v>
      </c>
      <c r="S2006">
        <v>0.7</v>
      </c>
      <c r="U2006">
        <v>2.7</v>
      </c>
      <c r="W2006">
        <v>170</v>
      </c>
      <c r="Y2006" t="s">
        <v>35</v>
      </c>
    </row>
    <row r="2007" spans="1:25">
      <c r="A2007" t="s">
        <v>3117</v>
      </c>
      <c r="B2007" s="2" t="str">
        <f>Hyperlink("https://www.diodes.com/datasheet/download/ZXM61N03F.pdf")</f>
        <v>https://www.diodes.com/datasheet/download/ZXM61N03F.pdf</v>
      </c>
      <c r="C2007" t="str">
        <f>Hyperlink("https://www.diodes.com/part/view/ZXM61N03F","ZXM61N03F")</f>
        <v>ZXM61N03F</v>
      </c>
      <c r="D2007" t="s">
        <v>26</v>
      </c>
      <c r="E2007" t="s">
        <v>27</v>
      </c>
      <c r="F2007" t="s">
        <v>28</v>
      </c>
      <c r="G2007" t="s">
        <v>29</v>
      </c>
      <c r="H2007" t="s">
        <v>30</v>
      </c>
      <c r="I2007">
        <v>30</v>
      </c>
      <c r="J2007">
        <v>20</v>
      </c>
      <c r="K2007">
        <v>1.4</v>
      </c>
      <c r="M2007">
        <v>0.625</v>
      </c>
      <c r="O2007">
        <v>220</v>
      </c>
      <c r="P2007">
        <v>300</v>
      </c>
      <c r="V2007">
        <v>4.1</v>
      </c>
      <c r="W2007">
        <v>150</v>
      </c>
      <c r="Y2007" t="s">
        <v>35</v>
      </c>
    </row>
    <row r="2008" spans="1:25">
      <c r="A2008" t="s">
        <v>3118</v>
      </c>
      <c r="B2008" s="2" t="str">
        <f>Hyperlink("https://www.diodes.com/datasheet/download/ZXM61P02F.pdf")</f>
        <v>https://www.diodes.com/datasheet/download/ZXM61P02F.pdf</v>
      </c>
      <c r="C2008" t="str">
        <f>Hyperlink("https://www.diodes.com/part/view/ZXM61P02F","ZXM61P02F")</f>
        <v>ZXM61P02F</v>
      </c>
      <c r="D2008" t="s">
        <v>74</v>
      </c>
      <c r="E2008" t="s">
        <v>27</v>
      </c>
      <c r="F2008" t="s">
        <v>28</v>
      </c>
      <c r="G2008" t="s">
        <v>75</v>
      </c>
      <c r="H2008" t="s">
        <v>30</v>
      </c>
      <c r="I2008">
        <v>20</v>
      </c>
      <c r="J2008">
        <v>12</v>
      </c>
      <c r="K2008">
        <v>0.9</v>
      </c>
      <c r="M2008">
        <v>0.625</v>
      </c>
      <c r="P2008">
        <v>600</v>
      </c>
      <c r="Q2008" t="s">
        <v>3119</v>
      </c>
      <c r="S2008">
        <v>0.7</v>
      </c>
      <c r="T2008">
        <v>1.5</v>
      </c>
      <c r="U2008">
        <v>3.5</v>
      </c>
      <c r="W2008">
        <v>160</v>
      </c>
      <c r="Y2008" t="s">
        <v>35</v>
      </c>
    </row>
    <row r="2009" spans="1:25">
      <c r="A2009" t="s">
        <v>3120</v>
      </c>
      <c r="B2009" s="2" t="str">
        <f>Hyperlink("https://www.diodes.com/datasheet/download/ZXM61P03F.pdf")</f>
        <v>https://www.diodes.com/datasheet/download/ZXM61P03F.pdf</v>
      </c>
      <c r="C2009" t="str">
        <f>Hyperlink("https://www.diodes.com/part/view/ZXM61P03F","ZXM61P03F")</f>
        <v>ZXM61P03F</v>
      </c>
      <c r="D2009" t="s">
        <v>74</v>
      </c>
      <c r="E2009" t="s">
        <v>27</v>
      </c>
      <c r="F2009" t="s">
        <v>28</v>
      </c>
      <c r="G2009" t="s">
        <v>75</v>
      </c>
      <c r="H2009" t="s">
        <v>30</v>
      </c>
      <c r="I2009">
        <v>30</v>
      </c>
      <c r="J2009">
        <v>20</v>
      </c>
      <c r="K2009">
        <v>1.1</v>
      </c>
      <c r="M2009">
        <v>0.625</v>
      </c>
      <c r="O2009">
        <v>350</v>
      </c>
      <c r="P2009">
        <v>550</v>
      </c>
      <c r="V2009">
        <v>4.8</v>
      </c>
      <c r="W2009">
        <v>140</v>
      </c>
      <c r="Y2009" t="s">
        <v>35</v>
      </c>
    </row>
    <row r="2010" spans="1:25">
      <c r="A2010" t="s">
        <v>3121</v>
      </c>
      <c r="B2010" s="2" t="str">
        <f>Hyperlink("https://www.diodes.com/datasheet/download/ZXM62P02E6.pdf")</f>
        <v>https://www.diodes.com/datasheet/download/ZXM62P02E6.pdf</v>
      </c>
      <c r="C2010" t="str">
        <f>Hyperlink("https://www.diodes.com/part/view/ZXM62P02E6","ZXM62P02E6")</f>
        <v>ZXM62P02E6</v>
      </c>
      <c r="D2010" t="s">
        <v>74</v>
      </c>
      <c r="E2010" t="s">
        <v>27</v>
      </c>
      <c r="F2010" t="s">
        <v>28</v>
      </c>
      <c r="G2010" t="s">
        <v>75</v>
      </c>
      <c r="H2010" t="s">
        <v>30</v>
      </c>
      <c r="I2010">
        <v>20</v>
      </c>
      <c r="J2010">
        <v>12</v>
      </c>
      <c r="K2010">
        <v>2.3</v>
      </c>
      <c r="M2010">
        <v>1.7</v>
      </c>
      <c r="P2010">
        <v>200</v>
      </c>
      <c r="Q2010" t="s">
        <v>3122</v>
      </c>
      <c r="U2010">
        <v>4.6</v>
      </c>
      <c r="W2010">
        <v>350</v>
      </c>
      <c r="Y2010" t="s">
        <v>339</v>
      </c>
    </row>
    <row r="2011" spans="1:25">
      <c r="A2011" t="s">
        <v>3123</v>
      </c>
      <c r="B2011" s="2" t="str">
        <f>Hyperlink("https://www.diodes.com/datasheet/download/ZXM62P03E6.pdf")</f>
        <v>https://www.diodes.com/datasheet/download/ZXM62P03E6.pdf</v>
      </c>
      <c r="C2011" t="str">
        <f>Hyperlink("https://www.diodes.com/part/view/ZXM62P03E6","ZXM62P03E6")</f>
        <v>ZXM62P03E6</v>
      </c>
      <c r="D2011" t="s">
        <v>74</v>
      </c>
      <c r="E2011" t="s">
        <v>27</v>
      </c>
      <c r="F2011" t="s">
        <v>28</v>
      </c>
      <c r="G2011" t="s">
        <v>75</v>
      </c>
      <c r="H2011" t="s">
        <v>30</v>
      </c>
      <c r="I2011">
        <v>30</v>
      </c>
      <c r="J2011">
        <v>12</v>
      </c>
      <c r="K2011">
        <v>1.5</v>
      </c>
      <c r="M2011">
        <v>0.625</v>
      </c>
      <c r="O2011">
        <v>150</v>
      </c>
      <c r="P2011">
        <v>230</v>
      </c>
      <c r="U2011">
        <v>10.2</v>
      </c>
      <c r="W2011">
        <v>330</v>
      </c>
      <c r="Y2011" t="s">
        <v>339</v>
      </c>
    </row>
    <row r="2012" spans="1:25">
      <c r="A2012" t="s">
        <v>3124</v>
      </c>
      <c r="B2012" s="2" t="str">
        <f>Hyperlink("https://www.diodes.com/datasheet/download/ZXM64P02X.pdf")</f>
        <v>https://www.diodes.com/datasheet/download/ZXM64P02X.pdf</v>
      </c>
      <c r="C2012" t="str">
        <f>Hyperlink("https://www.diodes.com/part/view/ZXM64P02X","ZXM64P02X")</f>
        <v>ZXM64P02X</v>
      </c>
      <c r="D2012" t="s">
        <v>636</v>
      </c>
      <c r="E2012" t="s">
        <v>27</v>
      </c>
      <c r="F2012" t="s">
        <v>28</v>
      </c>
      <c r="G2012" t="s">
        <v>75</v>
      </c>
      <c r="H2012" t="s">
        <v>30</v>
      </c>
      <c r="I2012">
        <v>20</v>
      </c>
      <c r="J2012">
        <v>12</v>
      </c>
      <c r="K2012">
        <v>3.5</v>
      </c>
      <c r="M2012">
        <v>1.1</v>
      </c>
      <c r="P2012">
        <v>90</v>
      </c>
      <c r="Q2012" t="s">
        <v>3125</v>
      </c>
      <c r="S2012">
        <v>0.7</v>
      </c>
      <c r="U2012">
        <v>5</v>
      </c>
      <c r="W2012">
        <v>950</v>
      </c>
      <c r="Y2012" t="s">
        <v>3126</v>
      </c>
    </row>
    <row r="2013" spans="1:25">
      <c r="A2013" t="s">
        <v>3127</v>
      </c>
      <c r="B2013" s="2" t="str">
        <f>Hyperlink("https://www.diodes.com/datasheet/download/ZXM64P03X.pdf")</f>
        <v>https://www.diodes.com/datasheet/download/ZXM64P03X.pdf</v>
      </c>
      <c r="C2013" t="str">
        <f>Hyperlink("https://www.diodes.com/part/view/ZXM64P03X","ZXM64P03X")</f>
        <v>ZXM64P03X</v>
      </c>
      <c r="D2013" t="s">
        <v>661</v>
      </c>
      <c r="E2013" t="s">
        <v>27</v>
      </c>
      <c r="F2013" t="s">
        <v>28</v>
      </c>
      <c r="G2013" t="s">
        <v>75</v>
      </c>
      <c r="H2013" t="s">
        <v>30</v>
      </c>
      <c r="I2013">
        <v>30</v>
      </c>
      <c r="J2013">
        <v>20</v>
      </c>
      <c r="K2013">
        <v>3.8</v>
      </c>
      <c r="M2013">
        <v>1.1</v>
      </c>
      <c r="O2013">
        <v>75</v>
      </c>
      <c r="P2013">
        <v>100</v>
      </c>
      <c r="V2013">
        <v>46</v>
      </c>
      <c r="Y2013" t="s">
        <v>3126</v>
      </c>
    </row>
    <row r="2014" spans="1:25">
      <c r="A2014" t="s">
        <v>3128</v>
      </c>
      <c r="B2014" s="2" t="str">
        <f>Hyperlink("https://www.diodes.com/datasheet/download/ZXMC3A16DN8.pdf")</f>
        <v>https://www.diodes.com/datasheet/download/ZXMC3A16DN8.pdf</v>
      </c>
      <c r="C2014" t="str">
        <f>Hyperlink("https://www.diodes.com/part/view/ZXMC3A16DN8","ZXMC3A16DN8")</f>
        <v>ZXMC3A16DN8</v>
      </c>
      <c r="D2014" t="s">
        <v>113</v>
      </c>
      <c r="E2014" t="s">
        <v>27</v>
      </c>
      <c r="F2014" t="s">
        <v>28</v>
      </c>
      <c r="G2014" t="s">
        <v>114</v>
      </c>
      <c r="H2014" t="s">
        <v>30</v>
      </c>
      <c r="I2014" t="s">
        <v>374</v>
      </c>
      <c r="J2014" t="s">
        <v>116</v>
      </c>
      <c r="K2014" t="s">
        <v>3129</v>
      </c>
      <c r="M2014">
        <v>1.8</v>
      </c>
      <c r="O2014" t="s">
        <v>3130</v>
      </c>
      <c r="P2014" t="s">
        <v>3131</v>
      </c>
      <c r="T2014" t="s">
        <v>175</v>
      </c>
      <c r="U2014" t="s">
        <v>3132</v>
      </c>
      <c r="V2014" t="s">
        <v>3133</v>
      </c>
      <c r="W2014" t="s">
        <v>3134</v>
      </c>
      <c r="X2014" t="s">
        <v>357</v>
      </c>
      <c r="Y2014" t="s">
        <v>213</v>
      </c>
    </row>
    <row r="2015" spans="1:25">
      <c r="A2015" t="s">
        <v>3135</v>
      </c>
      <c r="B2015" s="2" t="str">
        <f>Hyperlink("https://www.diodes.com/datasheet/download/ZXMC3A16DN8Q.pdf")</f>
        <v>https://www.diodes.com/datasheet/download/ZXMC3A16DN8Q.pdf</v>
      </c>
      <c r="C2015" t="str">
        <f>Hyperlink("https://www.diodes.com/part/view/ZXMC3A16DN8Q","ZXMC3A16DN8Q")</f>
        <v>ZXMC3A16DN8Q</v>
      </c>
      <c r="D2015" t="s">
        <v>448</v>
      </c>
      <c r="E2015" t="s">
        <v>27</v>
      </c>
      <c r="F2015" t="s">
        <v>37</v>
      </c>
      <c r="G2015" t="s">
        <v>114</v>
      </c>
      <c r="H2015" t="s">
        <v>30</v>
      </c>
      <c r="I2015" t="s">
        <v>374</v>
      </c>
      <c r="J2015" t="s">
        <v>116</v>
      </c>
      <c r="K2015" t="s">
        <v>3129</v>
      </c>
      <c r="M2015">
        <v>2.1</v>
      </c>
      <c r="O2015" t="s">
        <v>3130</v>
      </c>
      <c r="P2015" t="s">
        <v>3136</v>
      </c>
      <c r="T2015" t="s">
        <v>175</v>
      </c>
      <c r="U2015" t="s">
        <v>3132</v>
      </c>
      <c r="V2015" t="s">
        <v>3133</v>
      </c>
      <c r="W2015" t="s">
        <v>3134</v>
      </c>
      <c r="X2015" t="s">
        <v>540</v>
      </c>
      <c r="Y2015" t="s">
        <v>213</v>
      </c>
    </row>
    <row r="2016" spans="1:25">
      <c r="A2016" t="s">
        <v>3137</v>
      </c>
      <c r="B2016" s="2" t="str">
        <f>Hyperlink("https://www.diodes.com/datasheet/download/ZXMC3A17DN8.pdf")</f>
        <v>https://www.diodes.com/datasheet/download/ZXMC3A17DN8.pdf</v>
      </c>
      <c r="C2016" t="str">
        <f>Hyperlink("https://www.diodes.com/part/view/ZXMC3A17DN8","ZXMC3A17DN8")</f>
        <v>ZXMC3A17DN8</v>
      </c>
      <c r="D2016" t="s">
        <v>113</v>
      </c>
      <c r="E2016" t="s">
        <v>27</v>
      </c>
      <c r="F2016" t="s">
        <v>28</v>
      </c>
      <c r="G2016" t="s">
        <v>114</v>
      </c>
      <c r="H2016" t="s">
        <v>30</v>
      </c>
      <c r="I2016" t="s">
        <v>374</v>
      </c>
      <c r="J2016" t="s">
        <v>116</v>
      </c>
      <c r="K2016" t="s">
        <v>3138</v>
      </c>
      <c r="M2016">
        <v>1.8</v>
      </c>
      <c r="O2016" t="s">
        <v>3131</v>
      </c>
      <c r="P2016" t="s">
        <v>3139</v>
      </c>
      <c r="T2016" t="s">
        <v>175</v>
      </c>
      <c r="U2016" t="s">
        <v>3140</v>
      </c>
      <c r="V2016" t="s">
        <v>3141</v>
      </c>
      <c r="W2016" t="s">
        <v>3142</v>
      </c>
      <c r="X2016" t="s">
        <v>357</v>
      </c>
      <c r="Y2016" t="s">
        <v>213</v>
      </c>
    </row>
    <row r="2017" spans="1:25">
      <c r="A2017" t="s">
        <v>3143</v>
      </c>
      <c r="B2017" s="2" t="str">
        <f>Hyperlink("https://www.diodes.com/datasheet/download/ZXMC3A18DN8.pdf")</f>
        <v>https://www.diodes.com/datasheet/download/ZXMC3A18DN8.pdf</v>
      </c>
      <c r="C2017" t="str">
        <f>Hyperlink("https://www.diodes.com/part/view/ZXMC3A18DN8","ZXMC3A18DN8")</f>
        <v>ZXMC3A18DN8</v>
      </c>
      <c r="D2017" t="s">
        <v>113</v>
      </c>
      <c r="E2017" t="s">
        <v>27</v>
      </c>
      <c r="F2017" t="s">
        <v>28</v>
      </c>
      <c r="G2017" t="s">
        <v>114</v>
      </c>
      <c r="H2017" t="s">
        <v>30</v>
      </c>
      <c r="I2017" t="s">
        <v>374</v>
      </c>
      <c r="J2017" t="s">
        <v>116</v>
      </c>
      <c r="K2017" t="s">
        <v>3144</v>
      </c>
      <c r="M2017">
        <v>1.8</v>
      </c>
      <c r="O2017" t="s">
        <v>3145</v>
      </c>
      <c r="P2017" t="s">
        <v>3146</v>
      </c>
      <c r="T2017" t="s">
        <v>175</v>
      </c>
      <c r="U2017" t="s">
        <v>3147</v>
      </c>
      <c r="V2017" t="s">
        <v>3148</v>
      </c>
      <c r="W2017" t="s">
        <v>3149</v>
      </c>
      <c r="X2017" t="s">
        <v>357</v>
      </c>
      <c r="Y2017" t="s">
        <v>213</v>
      </c>
    </row>
    <row r="2018" spans="1:25">
      <c r="A2018" t="s">
        <v>3150</v>
      </c>
      <c r="B2018" s="2" t="str">
        <f>Hyperlink("https://www.diodes.com/datasheet/download/ZXMC3AMC.pdf")</f>
        <v>https://www.diodes.com/datasheet/download/ZXMC3AMC.pdf</v>
      </c>
      <c r="C2018" t="str">
        <f>Hyperlink("https://www.diodes.com/part/view/ZXMC3AMC","ZXMC3AMC")</f>
        <v>ZXMC3AMC</v>
      </c>
      <c r="D2018" t="s">
        <v>448</v>
      </c>
      <c r="E2018" t="s">
        <v>27</v>
      </c>
      <c r="F2018" t="s">
        <v>28</v>
      </c>
      <c r="G2018" t="s">
        <v>114</v>
      </c>
      <c r="H2018" t="s">
        <v>30</v>
      </c>
      <c r="I2018" t="s">
        <v>374</v>
      </c>
      <c r="J2018" t="s">
        <v>116</v>
      </c>
      <c r="K2018" t="s">
        <v>3151</v>
      </c>
      <c r="M2018">
        <v>2.45</v>
      </c>
      <c r="O2018" t="s">
        <v>3152</v>
      </c>
      <c r="P2018" t="s">
        <v>3153</v>
      </c>
      <c r="T2018" t="s">
        <v>219</v>
      </c>
      <c r="U2018" t="s">
        <v>3154</v>
      </c>
      <c r="V2018" t="s">
        <v>3155</v>
      </c>
      <c r="W2018" t="s">
        <v>3156</v>
      </c>
      <c r="X2018" t="s">
        <v>357</v>
      </c>
      <c r="Y2018" t="s">
        <v>2267</v>
      </c>
    </row>
    <row r="2019" spans="1:25">
      <c r="A2019" t="s">
        <v>3157</v>
      </c>
      <c r="B2019" s="2" t="str">
        <f>Hyperlink("https://www.diodes.com/datasheet/download/ZXMC3F31DN8.pdf")</f>
        <v>https://www.diodes.com/datasheet/download/ZXMC3F31DN8.pdf</v>
      </c>
      <c r="C2019" t="str">
        <f>Hyperlink("https://www.diodes.com/part/view/ZXMC3F31DN8","ZXMC3F31DN8")</f>
        <v>ZXMC3F31DN8</v>
      </c>
      <c r="D2019" t="s">
        <v>3158</v>
      </c>
      <c r="E2019" t="s">
        <v>27</v>
      </c>
      <c r="F2019" t="s">
        <v>28</v>
      </c>
      <c r="G2019" t="s">
        <v>114</v>
      </c>
      <c r="H2019" t="s">
        <v>30</v>
      </c>
      <c r="I2019" t="s">
        <v>374</v>
      </c>
      <c r="J2019" t="s">
        <v>116</v>
      </c>
      <c r="K2019" t="s">
        <v>3159</v>
      </c>
      <c r="M2019">
        <v>1.8</v>
      </c>
      <c r="O2019" t="s">
        <v>558</v>
      </c>
      <c r="P2019" t="s">
        <v>3160</v>
      </c>
      <c r="T2019" t="s">
        <v>219</v>
      </c>
      <c r="V2019" t="s">
        <v>3161</v>
      </c>
      <c r="W2019" t="s">
        <v>3162</v>
      </c>
      <c r="X2019" t="s">
        <v>357</v>
      </c>
      <c r="Y2019" t="s">
        <v>213</v>
      </c>
    </row>
    <row r="2020" spans="1:25">
      <c r="A2020" t="s">
        <v>3163</v>
      </c>
      <c r="B2020" s="2" t="str">
        <f>Hyperlink("https://www.diodes.com/datasheet/download/ZXMC4559DN8.pdf")</f>
        <v>https://www.diodes.com/datasheet/download/ZXMC4559DN8.pdf</v>
      </c>
      <c r="C2020" t="str">
        <f>Hyperlink("https://www.diodes.com/part/view/ZXMC4559DN8","ZXMC4559DN8")</f>
        <v>ZXMC4559DN8</v>
      </c>
      <c r="D2020" t="s">
        <v>113</v>
      </c>
      <c r="E2020" t="s">
        <v>27</v>
      </c>
      <c r="F2020" t="s">
        <v>28</v>
      </c>
      <c r="G2020" t="s">
        <v>114</v>
      </c>
      <c r="H2020" t="s">
        <v>30</v>
      </c>
      <c r="I2020" t="s">
        <v>580</v>
      </c>
      <c r="J2020" t="s">
        <v>116</v>
      </c>
      <c r="K2020" t="s">
        <v>3164</v>
      </c>
      <c r="M2020">
        <v>2.1</v>
      </c>
      <c r="O2020" t="s">
        <v>3165</v>
      </c>
      <c r="P2020" t="s">
        <v>3166</v>
      </c>
      <c r="T2020" t="s">
        <v>175</v>
      </c>
      <c r="U2020" t="s">
        <v>3167</v>
      </c>
      <c r="V2020" t="s">
        <v>3168</v>
      </c>
      <c r="W2020" t="s">
        <v>3169</v>
      </c>
      <c r="X2020" t="s">
        <v>374</v>
      </c>
      <c r="Y2020" t="s">
        <v>213</v>
      </c>
    </row>
    <row r="2021" spans="1:25">
      <c r="A2021" t="s">
        <v>3170</v>
      </c>
      <c r="B2021" s="2" t="str">
        <f>Hyperlink("https://www.diodes.com/datasheet/download/ZXMC4A16DN8.pdf")</f>
        <v>https://www.diodes.com/datasheet/download/ZXMC4A16DN8.pdf</v>
      </c>
      <c r="C2021" t="str">
        <f>Hyperlink("https://www.diodes.com/part/view/ZXMC4A16DN8","ZXMC4A16DN8")</f>
        <v>ZXMC4A16DN8</v>
      </c>
      <c r="D2021" t="s">
        <v>113</v>
      </c>
      <c r="E2021" t="s">
        <v>27</v>
      </c>
      <c r="F2021" t="s">
        <v>28</v>
      </c>
      <c r="G2021" t="s">
        <v>114</v>
      </c>
      <c r="H2021" t="s">
        <v>30</v>
      </c>
      <c r="I2021" t="s">
        <v>543</v>
      </c>
      <c r="J2021" t="s">
        <v>116</v>
      </c>
      <c r="K2021" t="s">
        <v>3171</v>
      </c>
      <c r="M2021">
        <v>1.8</v>
      </c>
      <c r="O2021" t="s">
        <v>3172</v>
      </c>
      <c r="P2021" t="s">
        <v>3173</v>
      </c>
      <c r="T2021" t="s">
        <v>175</v>
      </c>
      <c r="V2021" t="s">
        <v>3174</v>
      </c>
      <c r="W2021" t="s">
        <v>3175</v>
      </c>
      <c r="X2021" t="s">
        <v>543</v>
      </c>
      <c r="Y2021" t="s">
        <v>213</v>
      </c>
    </row>
    <row r="2022" spans="1:25">
      <c r="A2022" t="s">
        <v>3176</v>
      </c>
      <c r="B2022" s="2" t="str">
        <f>Hyperlink("https://www.diodes.com/datasheet/download/ZXMC6A09DN8.pdf")</f>
        <v>https://www.diodes.com/datasheet/download/ZXMC6A09DN8.pdf</v>
      </c>
      <c r="C2022" t="str">
        <f>Hyperlink("https://www.diodes.com/part/view/ZXMC6A09DN8","ZXMC6A09DN8")</f>
        <v>ZXMC6A09DN8</v>
      </c>
      <c r="D2022" t="s">
        <v>113</v>
      </c>
      <c r="E2022" t="s">
        <v>27</v>
      </c>
      <c r="F2022" t="s">
        <v>28</v>
      </c>
      <c r="G2022" t="s">
        <v>114</v>
      </c>
      <c r="H2022" t="s">
        <v>30</v>
      </c>
      <c r="I2022" t="s">
        <v>580</v>
      </c>
      <c r="J2022" t="s">
        <v>116</v>
      </c>
      <c r="K2022" t="s">
        <v>3177</v>
      </c>
      <c r="M2022">
        <v>1.8</v>
      </c>
      <c r="O2022" t="s">
        <v>3178</v>
      </c>
      <c r="P2022" t="s">
        <v>3179</v>
      </c>
      <c r="T2022" t="s">
        <v>175</v>
      </c>
      <c r="U2022" t="s">
        <v>3180</v>
      </c>
      <c r="V2022" t="s">
        <v>3181</v>
      </c>
      <c r="W2022" t="s">
        <v>3182</v>
      </c>
      <c r="X2022" t="s">
        <v>357</v>
      </c>
      <c r="Y2022" t="s">
        <v>213</v>
      </c>
    </row>
    <row r="2023" spans="1:25">
      <c r="A2023" t="s">
        <v>3183</v>
      </c>
      <c r="B2023" s="2" t="str">
        <f>Hyperlink("https://www.diodes.com/datasheet/download/ZXMD63N03X.pdf")</f>
        <v>https://www.diodes.com/datasheet/download/ZXMD63N03X.pdf</v>
      </c>
      <c r="C2023" t="str">
        <f>Hyperlink("https://www.diodes.com/part/view/ZXMD63N03X","ZXMD63N03X")</f>
        <v>ZXMD63N03X</v>
      </c>
      <c r="D2023" t="s">
        <v>2381</v>
      </c>
      <c r="E2023" t="s">
        <v>27</v>
      </c>
      <c r="F2023" t="s">
        <v>28</v>
      </c>
      <c r="G2023" t="s">
        <v>40</v>
      </c>
      <c r="H2023" t="s">
        <v>30</v>
      </c>
      <c r="I2023">
        <v>30</v>
      </c>
      <c r="J2023">
        <v>20</v>
      </c>
      <c r="K2023">
        <v>2.3</v>
      </c>
      <c r="M2023">
        <v>1.25</v>
      </c>
      <c r="O2023">
        <v>135</v>
      </c>
      <c r="P2023">
        <v>200</v>
      </c>
      <c r="V2023">
        <v>8</v>
      </c>
      <c r="W2023">
        <v>290</v>
      </c>
      <c r="Y2023" t="s">
        <v>3126</v>
      </c>
    </row>
    <row r="2024" spans="1:25">
      <c r="A2024" t="s">
        <v>3184</v>
      </c>
      <c r="B2024" s="2" t="str">
        <f>Hyperlink("https://www.diodes.com/datasheet/download/ZXMHC10A07N8.pdf")</f>
        <v>https://www.diodes.com/datasheet/download/ZXMHC10A07N8.pdf</v>
      </c>
      <c r="C2024" t="str">
        <f>Hyperlink("https://www.diodes.com/part/view/ZXMHC10A07N8","ZXMHC10A07N8")</f>
        <v>ZXMHC10A07N8</v>
      </c>
      <c r="D2024" t="s">
        <v>3185</v>
      </c>
      <c r="E2024" t="s">
        <v>30</v>
      </c>
      <c r="F2024" t="s">
        <v>28</v>
      </c>
      <c r="G2024" t="s">
        <v>731</v>
      </c>
      <c r="H2024" t="s">
        <v>30</v>
      </c>
      <c r="I2024">
        <v>100</v>
      </c>
      <c r="J2024">
        <v>20</v>
      </c>
      <c r="K2024" t="s">
        <v>3186</v>
      </c>
      <c r="M2024">
        <v>0.87</v>
      </c>
      <c r="O2024" t="s">
        <v>3187</v>
      </c>
      <c r="V2024" t="s">
        <v>3188</v>
      </c>
      <c r="W2024" t="s">
        <v>3189</v>
      </c>
      <c r="X2024" t="s">
        <v>115</v>
      </c>
      <c r="Y2024" t="s">
        <v>213</v>
      </c>
    </row>
    <row r="2025" spans="1:25">
      <c r="A2025" t="s">
        <v>3190</v>
      </c>
      <c r="B2025" s="2" t="str">
        <f>Hyperlink("https://www.diodes.com/datasheet/download/ZXMHC10A07T8.pdf")</f>
        <v>https://www.diodes.com/datasheet/download/ZXMHC10A07T8.pdf</v>
      </c>
      <c r="C2025" t="str">
        <f>Hyperlink("https://www.diodes.com/part/view/ZXMHC10A07T8","ZXMHC10A07T8")</f>
        <v>ZXMHC10A07T8</v>
      </c>
      <c r="D2025" t="s">
        <v>3191</v>
      </c>
      <c r="E2025" t="s">
        <v>30</v>
      </c>
      <c r="F2025" t="s">
        <v>28</v>
      </c>
      <c r="G2025" t="s">
        <v>731</v>
      </c>
      <c r="H2025" t="s">
        <v>30</v>
      </c>
      <c r="I2025">
        <v>100</v>
      </c>
      <c r="J2025">
        <v>20</v>
      </c>
      <c r="K2025" t="s">
        <v>3192</v>
      </c>
      <c r="M2025">
        <v>1.3</v>
      </c>
      <c r="O2025" t="s">
        <v>3187</v>
      </c>
      <c r="V2025" t="s">
        <v>3188</v>
      </c>
      <c r="W2025" t="s">
        <v>3189</v>
      </c>
      <c r="X2025" t="s">
        <v>115</v>
      </c>
      <c r="Y2025" t="s">
        <v>3193</v>
      </c>
    </row>
    <row r="2026" spans="1:25">
      <c r="A2026" t="s">
        <v>3194</v>
      </c>
      <c r="B2026" s="2" t="str">
        <f>Hyperlink("https://www.diodes.com/datasheet/download/ZXMHC3A01N8.pdf")</f>
        <v>https://www.diodes.com/datasheet/download/ZXMHC3A01N8.pdf</v>
      </c>
      <c r="C2026" t="str">
        <f>Hyperlink("https://www.diodes.com/part/view/ZXMHC3A01N8","ZXMHC3A01N8")</f>
        <v>ZXMHC3A01N8</v>
      </c>
      <c r="D2026" t="s">
        <v>3195</v>
      </c>
      <c r="E2026" t="s">
        <v>30</v>
      </c>
      <c r="F2026" t="s">
        <v>28</v>
      </c>
      <c r="G2026" t="s">
        <v>731</v>
      </c>
      <c r="H2026" t="s">
        <v>30</v>
      </c>
      <c r="I2026">
        <v>30</v>
      </c>
      <c r="J2026">
        <v>20</v>
      </c>
      <c r="K2026" t="s">
        <v>3196</v>
      </c>
      <c r="M2026">
        <v>0.87</v>
      </c>
      <c r="O2026" t="s">
        <v>3197</v>
      </c>
      <c r="P2026" t="s">
        <v>3153</v>
      </c>
      <c r="V2026" t="s">
        <v>3198</v>
      </c>
      <c r="W2026" t="s">
        <v>3199</v>
      </c>
      <c r="X2026" t="s">
        <v>540</v>
      </c>
      <c r="Y2026" t="s">
        <v>213</v>
      </c>
    </row>
    <row r="2027" spans="1:25">
      <c r="A2027" t="s">
        <v>3200</v>
      </c>
      <c r="B2027" s="2" t="str">
        <f>Hyperlink("https://www.diodes.com/datasheet/download/ZXMHC3A01T8.pdf")</f>
        <v>https://www.diodes.com/datasheet/download/ZXMHC3A01T8.pdf</v>
      </c>
      <c r="C2027" t="str">
        <f>Hyperlink("https://www.diodes.com/part/view/ZXMHC3A01T8","ZXMHC3A01T8")</f>
        <v>ZXMHC3A01T8</v>
      </c>
      <c r="D2027" t="s">
        <v>3201</v>
      </c>
      <c r="E2027" t="s">
        <v>30</v>
      </c>
      <c r="F2027" t="s">
        <v>28</v>
      </c>
      <c r="G2027" t="s">
        <v>731</v>
      </c>
      <c r="H2027" t="s">
        <v>30</v>
      </c>
      <c r="I2027">
        <v>30</v>
      </c>
      <c r="J2027">
        <v>20</v>
      </c>
      <c r="K2027" t="s">
        <v>3202</v>
      </c>
      <c r="M2027">
        <v>1.3</v>
      </c>
      <c r="O2027" t="s">
        <v>3152</v>
      </c>
      <c r="P2027" t="s">
        <v>3153</v>
      </c>
      <c r="V2027" t="s">
        <v>3198</v>
      </c>
      <c r="W2027" t="s">
        <v>3199</v>
      </c>
      <c r="X2027" t="s">
        <v>540</v>
      </c>
      <c r="Y2027" t="s">
        <v>3193</v>
      </c>
    </row>
    <row r="2028" spans="1:25">
      <c r="A2028" t="s">
        <v>3203</v>
      </c>
      <c r="B2028" s="2" t="str">
        <f>Hyperlink("https://www.diodes.com/datasheet/download/ZXMHC3F381N8.pdf")</f>
        <v>https://www.diodes.com/datasheet/download/ZXMHC3F381N8.pdf</v>
      </c>
      <c r="C2028" t="str">
        <f>Hyperlink("https://www.diodes.com/part/view/ZXMHC3F381N8","ZXMHC3F381N8")</f>
        <v>ZXMHC3F381N8</v>
      </c>
      <c r="D2028" t="s">
        <v>3195</v>
      </c>
      <c r="E2028" t="s">
        <v>30</v>
      </c>
      <c r="F2028" t="s">
        <v>28</v>
      </c>
      <c r="G2028" t="s">
        <v>731</v>
      </c>
      <c r="H2028" t="s">
        <v>30</v>
      </c>
      <c r="I2028">
        <v>30</v>
      </c>
      <c r="J2028">
        <v>20</v>
      </c>
      <c r="K2028" t="s">
        <v>3204</v>
      </c>
      <c r="M2028">
        <v>0.87</v>
      </c>
      <c r="O2028" t="s">
        <v>3205</v>
      </c>
      <c r="P2028" t="s">
        <v>3206</v>
      </c>
      <c r="V2028" t="s">
        <v>3207</v>
      </c>
      <c r="W2028" t="s">
        <v>3208</v>
      </c>
      <c r="X2028" t="s">
        <v>357</v>
      </c>
      <c r="Y2028" t="s">
        <v>213</v>
      </c>
    </row>
    <row r="2029" spans="1:25">
      <c r="A2029" t="s">
        <v>3209</v>
      </c>
      <c r="B2029" s="2" t="str">
        <f>Hyperlink("https://www.diodes.com/datasheet/download/ZXMHC6A07N8.pdf")</f>
        <v>https://www.diodes.com/datasheet/download/ZXMHC6A07N8.pdf</v>
      </c>
      <c r="C2029" t="str">
        <f>Hyperlink("https://www.diodes.com/part/view/ZXMHC6A07N8","ZXMHC6A07N8")</f>
        <v>ZXMHC6A07N8</v>
      </c>
      <c r="D2029" t="s">
        <v>3210</v>
      </c>
      <c r="E2029" t="s">
        <v>30</v>
      </c>
      <c r="F2029" t="s">
        <v>28</v>
      </c>
      <c r="G2029" t="s">
        <v>731</v>
      </c>
      <c r="H2029" t="s">
        <v>30</v>
      </c>
      <c r="I2029">
        <v>60</v>
      </c>
      <c r="J2029">
        <v>20</v>
      </c>
      <c r="K2029" t="s">
        <v>3211</v>
      </c>
      <c r="M2029">
        <v>0.87</v>
      </c>
      <c r="O2029" t="s">
        <v>3212</v>
      </c>
      <c r="P2029" t="s">
        <v>3213</v>
      </c>
      <c r="V2029" t="s">
        <v>3214</v>
      </c>
      <c r="W2029" t="s">
        <v>3215</v>
      </c>
      <c r="X2029" t="s">
        <v>3216</v>
      </c>
      <c r="Y2029" t="s">
        <v>213</v>
      </c>
    </row>
    <row r="2030" spans="1:25">
      <c r="A2030" t="s">
        <v>3217</v>
      </c>
      <c r="B2030" s="2" t="str">
        <f>Hyperlink("https://www.diodes.com/datasheet/download/ZXMHC6A07T8.pdf")</f>
        <v>https://www.diodes.com/datasheet/download/ZXMHC6A07T8.pdf</v>
      </c>
      <c r="C2030" t="str">
        <f>Hyperlink("https://www.diodes.com/part/view/ZXMHC6A07T8","ZXMHC6A07T8")</f>
        <v>ZXMHC6A07T8</v>
      </c>
      <c r="D2030" t="s">
        <v>3218</v>
      </c>
      <c r="E2030" t="s">
        <v>30</v>
      </c>
      <c r="F2030" t="s">
        <v>28</v>
      </c>
      <c r="G2030" t="s">
        <v>731</v>
      </c>
      <c r="H2030" t="s">
        <v>30</v>
      </c>
      <c r="I2030">
        <v>60</v>
      </c>
      <c r="J2030">
        <v>20</v>
      </c>
      <c r="K2030" t="s">
        <v>3219</v>
      </c>
      <c r="M2030">
        <v>1.3</v>
      </c>
      <c r="O2030" t="s">
        <v>3220</v>
      </c>
      <c r="P2030" t="s">
        <v>3221</v>
      </c>
      <c r="V2030" t="s">
        <v>3214</v>
      </c>
      <c r="W2030" t="s">
        <v>3222</v>
      </c>
      <c r="X2030" t="s">
        <v>3223</v>
      </c>
      <c r="Y2030" t="s">
        <v>3193</v>
      </c>
    </row>
    <row r="2031" spans="1:25">
      <c r="A2031" t="s">
        <v>3224</v>
      </c>
      <c r="B2031" s="2" t="str">
        <f>Hyperlink("https://www.diodes.com/datasheet/download/ZXMHN6A07T8.pdf")</f>
        <v>https://www.diodes.com/datasheet/download/ZXMHN6A07T8.pdf</v>
      </c>
      <c r="C2031" t="str">
        <f>Hyperlink("https://www.diodes.com/part/view/ZXMHN6A07T8","ZXMHN6A07T8")</f>
        <v>ZXMHN6A07T8</v>
      </c>
      <c r="D2031" t="s">
        <v>3225</v>
      </c>
      <c r="E2031" t="s">
        <v>30</v>
      </c>
      <c r="F2031" t="s">
        <v>28</v>
      </c>
      <c r="G2031" t="s">
        <v>762</v>
      </c>
      <c r="H2031" t="s">
        <v>30</v>
      </c>
      <c r="I2031">
        <v>60</v>
      </c>
      <c r="J2031">
        <v>20</v>
      </c>
      <c r="K2031">
        <v>1.4</v>
      </c>
      <c r="M2031">
        <v>1.1</v>
      </c>
      <c r="O2031">
        <v>300</v>
      </c>
      <c r="P2031">
        <v>450</v>
      </c>
      <c r="V2031">
        <v>3.2</v>
      </c>
      <c r="W2031">
        <v>166</v>
      </c>
      <c r="X2031">
        <v>40</v>
      </c>
      <c r="Y2031" t="s">
        <v>3193</v>
      </c>
    </row>
    <row r="2032" spans="1:25">
      <c r="A2032" t="s">
        <v>3226</v>
      </c>
      <c r="B2032" s="2" t="str">
        <f>Hyperlink("https://www.diodes.com/datasheet/download/ZXMN10A07F.pdf")</f>
        <v>https://www.diodes.com/datasheet/download/ZXMN10A07F.pdf</v>
      </c>
      <c r="C2032" t="str">
        <f>Hyperlink("https://www.diodes.com/part/view/ZXMN10A07F","ZXMN10A07F")</f>
        <v>ZXMN10A07F</v>
      </c>
      <c r="D2032" t="s">
        <v>26</v>
      </c>
      <c r="E2032" t="s">
        <v>27</v>
      </c>
      <c r="F2032" t="s">
        <v>28</v>
      </c>
      <c r="G2032" t="s">
        <v>29</v>
      </c>
      <c r="H2032" t="s">
        <v>30</v>
      </c>
      <c r="I2032">
        <v>100</v>
      </c>
      <c r="J2032">
        <v>20</v>
      </c>
      <c r="K2032">
        <v>0.7</v>
      </c>
      <c r="M2032">
        <v>0.625</v>
      </c>
      <c r="O2032">
        <v>700</v>
      </c>
      <c r="P2032" t="s">
        <v>844</v>
      </c>
      <c r="T2032">
        <v>4</v>
      </c>
      <c r="V2032">
        <v>2.9</v>
      </c>
      <c r="W2032">
        <v>138</v>
      </c>
      <c r="Y2032" t="s">
        <v>35</v>
      </c>
    </row>
    <row r="2033" spans="1:25">
      <c r="A2033" t="s">
        <v>3227</v>
      </c>
      <c r="B2033" s="2" t="str">
        <f>Hyperlink("https://www.diodes.com/datasheet/download/ZXMN10A07Z.pdf")</f>
        <v>https://www.diodes.com/datasheet/download/ZXMN10A07Z.pdf</v>
      </c>
      <c r="C2033" t="str">
        <f>Hyperlink("https://www.diodes.com/part/view/ZXMN10A07Z","ZXMN10A07Z")</f>
        <v>ZXMN10A07Z</v>
      </c>
      <c r="D2033" t="s">
        <v>3228</v>
      </c>
      <c r="E2033" t="s">
        <v>27</v>
      </c>
      <c r="F2033" t="s">
        <v>28</v>
      </c>
      <c r="G2033" t="s">
        <v>29</v>
      </c>
      <c r="H2033" t="s">
        <v>30</v>
      </c>
      <c r="I2033">
        <v>100</v>
      </c>
      <c r="J2033">
        <v>20</v>
      </c>
      <c r="K2033">
        <v>1</v>
      </c>
      <c r="M2033">
        <v>1.5</v>
      </c>
      <c r="O2033">
        <v>700</v>
      </c>
      <c r="P2033" t="s">
        <v>844</v>
      </c>
      <c r="T2033">
        <v>4</v>
      </c>
      <c r="V2033">
        <v>2.9</v>
      </c>
      <c r="W2033">
        <v>138</v>
      </c>
      <c r="Y2033" t="s">
        <v>1445</v>
      </c>
    </row>
    <row r="2034" spans="1:25">
      <c r="A2034" t="s">
        <v>3229</v>
      </c>
      <c r="B2034" s="2" t="str">
        <f>Hyperlink("https://www.diodes.com/datasheet/download/ZXMN10A08DN8.pdf")</f>
        <v>https://www.diodes.com/datasheet/download/ZXMN10A08DN8.pdf</v>
      </c>
      <c r="C2034" t="str">
        <f>Hyperlink("https://www.diodes.com/part/view/ZXMN10A08DN8","ZXMN10A08DN8")</f>
        <v>ZXMN10A08DN8</v>
      </c>
      <c r="D2034" t="s">
        <v>39</v>
      </c>
      <c r="E2034" t="s">
        <v>27</v>
      </c>
      <c r="F2034" t="s">
        <v>28</v>
      </c>
      <c r="G2034" t="s">
        <v>40</v>
      </c>
      <c r="H2034" t="s">
        <v>30</v>
      </c>
      <c r="I2034">
        <v>100</v>
      </c>
      <c r="J2034">
        <v>20</v>
      </c>
      <c r="K2034">
        <v>2.1</v>
      </c>
      <c r="M2034">
        <v>1.25</v>
      </c>
      <c r="O2034">
        <v>250</v>
      </c>
      <c r="P2034" t="s">
        <v>3230</v>
      </c>
      <c r="U2034" t="s">
        <v>3231</v>
      </c>
      <c r="V2034">
        <v>7.7</v>
      </c>
      <c r="W2034">
        <v>405</v>
      </c>
      <c r="Y2034" t="s">
        <v>213</v>
      </c>
    </row>
    <row r="2035" spans="1:25">
      <c r="A2035" t="s">
        <v>3232</v>
      </c>
      <c r="B2035" s="2" t="str">
        <f>Hyperlink("https://www.diodes.com/datasheet/download/ZXMN10A08E6.pdf")</f>
        <v>https://www.diodes.com/datasheet/download/ZXMN10A08E6.pdf</v>
      </c>
      <c r="C2035" t="str">
        <f>Hyperlink("https://www.diodes.com/part/view/ZXMN10A08E6","ZXMN10A08E6")</f>
        <v>ZXMN10A08E6</v>
      </c>
      <c r="D2035" t="s">
        <v>26</v>
      </c>
      <c r="E2035" t="s">
        <v>27</v>
      </c>
      <c r="F2035" t="s">
        <v>28</v>
      </c>
      <c r="G2035" t="s">
        <v>29</v>
      </c>
      <c r="H2035" t="s">
        <v>30</v>
      </c>
      <c r="I2035">
        <v>100</v>
      </c>
      <c r="J2035">
        <v>20</v>
      </c>
      <c r="K2035">
        <v>1.5</v>
      </c>
      <c r="M2035">
        <v>1.1</v>
      </c>
      <c r="O2035">
        <v>250</v>
      </c>
      <c r="P2035" t="s">
        <v>3230</v>
      </c>
      <c r="T2035">
        <v>4</v>
      </c>
      <c r="U2035" t="s">
        <v>3231</v>
      </c>
      <c r="V2035">
        <v>7.7</v>
      </c>
      <c r="W2035">
        <v>405</v>
      </c>
      <c r="Y2035" t="s">
        <v>339</v>
      </c>
    </row>
    <row r="2036" spans="1:25">
      <c r="A2036" t="s">
        <v>3233</v>
      </c>
      <c r="B2036" s="2" t="str">
        <f>Hyperlink("https://www.diodes.com/datasheet/download/ZXMN10A08G.pdf")</f>
        <v>https://www.diodes.com/datasheet/download/ZXMN10A08G.pdf</v>
      </c>
      <c r="C2036" t="str">
        <f>Hyperlink("https://www.diodes.com/part/view/ZXMN10A08G","ZXMN10A08G")</f>
        <v>ZXMN10A08G</v>
      </c>
      <c r="D2036" t="s">
        <v>26</v>
      </c>
      <c r="E2036" t="s">
        <v>27</v>
      </c>
      <c r="F2036" t="s">
        <v>28</v>
      </c>
      <c r="G2036" t="s">
        <v>29</v>
      </c>
      <c r="H2036" t="s">
        <v>30</v>
      </c>
      <c r="I2036">
        <v>100</v>
      </c>
      <c r="J2036">
        <v>20</v>
      </c>
      <c r="K2036">
        <v>2.9</v>
      </c>
      <c r="M2036">
        <v>2</v>
      </c>
      <c r="O2036">
        <v>250</v>
      </c>
      <c r="P2036" t="s">
        <v>3230</v>
      </c>
      <c r="U2036" t="s">
        <v>3231</v>
      </c>
      <c r="V2036">
        <v>7.7</v>
      </c>
      <c r="W2036">
        <v>405</v>
      </c>
      <c r="Y2036" t="s">
        <v>3028</v>
      </c>
    </row>
    <row r="2037" spans="1:25">
      <c r="A2037" t="s">
        <v>3234</v>
      </c>
      <c r="B2037" s="2" t="str">
        <f>Hyperlink("https://www.diodes.com/datasheet/download/ZXMN10A09K.pdf")</f>
        <v>https://www.diodes.com/datasheet/download/ZXMN10A09K.pdf</v>
      </c>
      <c r="C2037" t="str">
        <f>Hyperlink("https://www.diodes.com/part/view/ZXMN10A09K","ZXMN10A09K")</f>
        <v>ZXMN10A09K</v>
      </c>
      <c r="D2037" t="s">
        <v>26</v>
      </c>
      <c r="E2037" t="s">
        <v>27</v>
      </c>
      <c r="F2037" t="s">
        <v>28</v>
      </c>
      <c r="G2037" t="s">
        <v>29</v>
      </c>
      <c r="H2037" t="s">
        <v>30</v>
      </c>
      <c r="I2037">
        <v>100</v>
      </c>
      <c r="J2037">
        <v>20</v>
      </c>
      <c r="K2037">
        <v>5</v>
      </c>
      <c r="M2037">
        <v>2.15</v>
      </c>
      <c r="O2037">
        <v>85</v>
      </c>
      <c r="P2037" t="s">
        <v>3235</v>
      </c>
      <c r="T2037">
        <v>4</v>
      </c>
      <c r="U2037" t="s">
        <v>3236</v>
      </c>
      <c r="V2037">
        <v>26</v>
      </c>
      <c r="W2037">
        <v>1313</v>
      </c>
      <c r="Y2037" t="s">
        <v>681</v>
      </c>
    </row>
    <row r="2038" spans="1:25">
      <c r="A2038" t="s">
        <v>3237</v>
      </c>
      <c r="B2038" s="2" t="str">
        <f>Hyperlink("https://www.diodes.com/datasheet/download/ZXMN10A11G.pdf")</f>
        <v>https://www.diodes.com/datasheet/download/ZXMN10A11G.pdf</v>
      </c>
      <c r="C2038" t="str">
        <f>Hyperlink("https://www.diodes.com/part/view/ZXMN10A11G","ZXMN10A11G")</f>
        <v>ZXMN10A11G</v>
      </c>
      <c r="D2038" t="s">
        <v>26</v>
      </c>
      <c r="E2038" t="s">
        <v>27</v>
      </c>
      <c r="F2038" t="s">
        <v>28</v>
      </c>
      <c r="G2038" t="s">
        <v>29</v>
      </c>
      <c r="H2038" t="s">
        <v>30</v>
      </c>
      <c r="I2038">
        <v>100</v>
      </c>
      <c r="J2038">
        <v>20</v>
      </c>
      <c r="K2038">
        <v>1.7</v>
      </c>
      <c r="M2038">
        <v>2</v>
      </c>
      <c r="O2038">
        <v>350</v>
      </c>
      <c r="P2038" t="s">
        <v>3238</v>
      </c>
      <c r="T2038">
        <v>4</v>
      </c>
      <c r="U2038" t="s">
        <v>3239</v>
      </c>
      <c r="V2038">
        <v>5.4</v>
      </c>
      <c r="W2038">
        <v>274</v>
      </c>
      <c r="Y2038" t="s">
        <v>3028</v>
      </c>
    </row>
    <row r="2039" spans="1:25">
      <c r="A2039" t="s">
        <v>3240</v>
      </c>
      <c r="B2039" s="2" t="str">
        <f>Hyperlink("https://www.diodes.com/datasheet/download/ZXMN10A11K.pdf")</f>
        <v>https://www.diodes.com/datasheet/download/ZXMN10A11K.pdf</v>
      </c>
      <c r="C2039" t="str">
        <f>Hyperlink("https://www.diodes.com/part/view/ZXMN10A11K","ZXMN10A11K")</f>
        <v>ZXMN10A11K</v>
      </c>
      <c r="D2039" t="s">
        <v>26</v>
      </c>
      <c r="E2039" t="s">
        <v>27</v>
      </c>
      <c r="F2039" t="s">
        <v>28</v>
      </c>
      <c r="G2039" t="s">
        <v>29</v>
      </c>
      <c r="H2039" t="s">
        <v>30</v>
      </c>
      <c r="I2039">
        <v>100</v>
      </c>
      <c r="J2039">
        <v>20</v>
      </c>
      <c r="K2039">
        <v>2.4</v>
      </c>
      <c r="M2039">
        <v>2.11</v>
      </c>
      <c r="O2039">
        <v>350</v>
      </c>
      <c r="P2039" t="s">
        <v>3238</v>
      </c>
      <c r="T2039">
        <v>4</v>
      </c>
      <c r="U2039" t="s">
        <v>3239</v>
      </c>
      <c r="V2039">
        <v>5.4</v>
      </c>
      <c r="W2039">
        <v>274</v>
      </c>
      <c r="Y2039" t="s">
        <v>681</v>
      </c>
    </row>
    <row r="2040" spans="1:25">
      <c r="A2040" t="s">
        <v>3241</v>
      </c>
      <c r="B2040" s="2" t="str">
        <f>Hyperlink("https://www.diodes.com/datasheet/download/ZXMN10A25G.pdf")</f>
        <v>https://www.diodes.com/datasheet/download/ZXMN10A25G.pdf</v>
      </c>
      <c r="C2040" t="str">
        <f>Hyperlink("https://www.diodes.com/part/view/ZXMN10A25G","ZXMN10A25G")</f>
        <v>ZXMN10A25G</v>
      </c>
      <c r="D2040" t="s">
        <v>26</v>
      </c>
      <c r="E2040" t="s">
        <v>27</v>
      </c>
      <c r="F2040" t="s">
        <v>28</v>
      </c>
      <c r="G2040" t="s">
        <v>29</v>
      </c>
      <c r="H2040" t="s">
        <v>30</v>
      </c>
      <c r="I2040">
        <v>100</v>
      </c>
      <c r="J2040">
        <v>20</v>
      </c>
      <c r="K2040">
        <v>2.9</v>
      </c>
      <c r="M2040">
        <v>2</v>
      </c>
      <c r="O2040">
        <v>125</v>
      </c>
      <c r="P2040" t="s">
        <v>3242</v>
      </c>
      <c r="T2040">
        <v>4</v>
      </c>
      <c r="U2040" t="s">
        <v>3243</v>
      </c>
      <c r="V2040">
        <v>17</v>
      </c>
      <c r="W2040">
        <v>859</v>
      </c>
      <c r="Y2040" t="s">
        <v>3028</v>
      </c>
    </row>
    <row r="2041" spans="1:25">
      <c r="A2041" t="s">
        <v>3244</v>
      </c>
      <c r="B2041" s="2" t="str">
        <f>Hyperlink("https://www.diodes.com/datasheet/download/ZXMN10A25K.pdf")</f>
        <v>https://www.diodes.com/datasheet/download/ZXMN10A25K.pdf</v>
      </c>
      <c r="C2041" t="str">
        <f>Hyperlink("https://www.diodes.com/part/view/ZXMN10A25K","ZXMN10A25K")</f>
        <v>ZXMN10A25K</v>
      </c>
      <c r="D2041" t="s">
        <v>26</v>
      </c>
      <c r="E2041" t="s">
        <v>27</v>
      </c>
      <c r="F2041" t="s">
        <v>28</v>
      </c>
      <c r="G2041" t="s">
        <v>29</v>
      </c>
      <c r="H2041" t="s">
        <v>30</v>
      </c>
      <c r="I2041">
        <v>100</v>
      </c>
      <c r="J2041">
        <v>20</v>
      </c>
      <c r="K2041">
        <v>4.2</v>
      </c>
      <c r="M2041">
        <v>2.11</v>
      </c>
      <c r="O2041">
        <v>125</v>
      </c>
      <c r="P2041" t="s">
        <v>3242</v>
      </c>
      <c r="T2041">
        <v>4</v>
      </c>
      <c r="U2041" t="s">
        <v>3243</v>
      </c>
      <c r="V2041">
        <v>17.16</v>
      </c>
      <c r="W2041">
        <v>859</v>
      </c>
      <c r="Y2041" t="s">
        <v>681</v>
      </c>
    </row>
    <row r="2042" spans="1:25">
      <c r="A2042" t="s">
        <v>3245</v>
      </c>
      <c r="B2042" s="2" t="str">
        <f>Hyperlink("https://www.diodes.com/datasheet/download/ZXMN10B08E6.pdf")</f>
        <v>https://www.diodes.com/datasheet/download/ZXMN10B08E6.pdf</v>
      </c>
      <c r="C2042" t="str">
        <f>Hyperlink("https://www.diodes.com/part/view/ZXMN10B08E6","ZXMN10B08E6")</f>
        <v>ZXMN10B08E6</v>
      </c>
      <c r="D2042" t="s">
        <v>26</v>
      </c>
      <c r="E2042" t="s">
        <v>27</v>
      </c>
      <c r="F2042" t="s">
        <v>28</v>
      </c>
      <c r="G2042" t="s">
        <v>29</v>
      </c>
      <c r="H2042" t="s">
        <v>30</v>
      </c>
      <c r="I2042">
        <v>100</v>
      </c>
      <c r="J2042">
        <v>20</v>
      </c>
      <c r="K2042">
        <v>1.6</v>
      </c>
      <c r="M2042">
        <v>1.1</v>
      </c>
      <c r="O2042">
        <v>230</v>
      </c>
      <c r="P2042">
        <v>300</v>
      </c>
      <c r="T2042">
        <v>3</v>
      </c>
      <c r="U2042" t="s">
        <v>2776</v>
      </c>
      <c r="V2042">
        <v>9.2</v>
      </c>
      <c r="W2042">
        <v>497</v>
      </c>
      <c r="Y2042" t="s">
        <v>339</v>
      </c>
    </row>
    <row r="2043" spans="1:25">
      <c r="A2043" t="s">
        <v>3246</v>
      </c>
      <c r="B2043" s="2" t="str">
        <f>Hyperlink("https://www.diodes.com/datasheet/download/ZXMN15A27K.pdf")</f>
        <v>https://www.diodes.com/datasheet/download/ZXMN15A27K.pdf</v>
      </c>
      <c r="C2043" t="str">
        <f>Hyperlink("https://www.diodes.com/part/view/ZXMN15A27K","ZXMN15A27K")</f>
        <v>ZXMN15A27K</v>
      </c>
      <c r="D2043" t="s">
        <v>26</v>
      </c>
      <c r="E2043" t="s">
        <v>27</v>
      </c>
      <c r="F2043" t="s">
        <v>28</v>
      </c>
      <c r="G2043" t="s">
        <v>29</v>
      </c>
      <c r="H2043" t="s">
        <v>30</v>
      </c>
      <c r="I2043">
        <v>150</v>
      </c>
      <c r="J2043">
        <v>25</v>
      </c>
      <c r="K2043">
        <v>1.7</v>
      </c>
      <c r="M2043">
        <v>2.2</v>
      </c>
      <c r="O2043">
        <v>650</v>
      </c>
      <c r="T2043">
        <v>4</v>
      </c>
      <c r="V2043">
        <v>6.6</v>
      </c>
      <c r="W2043" t="s">
        <v>3247</v>
      </c>
      <c r="Y2043" t="s">
        <v>681</v>
      </c>
    </row>
    <row r="2044" spans="1:25">
      <c r="A2044" t="s">
        <v>3248</v>
      </c>
      <c r="B2044" s="2" t="str">
        <f>Hyperlink("https://www.diodes.com/datasheet/download/ZXMN20B28K.pdf")</f>
        <v>https://www.diodes.com/datasheet/download/ZXMN20B28K.pdf</v>
      </c>
      <c r="C2044" t="str">
        <f>Hyperlink("https://www.diodes.com/part/view/ZXMN20B28K","ZXMN20B28K")</f>
        <v>ZXMN20B28K</v>
      </c>
      <c r="D2044" t="s">
        <v>26</v>
      </c>
      <c r="E2044" t="s">
        <v>27</v>
      </c>
      <c r="F2044" t="s">
        <v>28</v>
      </c>
      <c r="G2044" t="s">
        <v>29</v>
      </c>
      <c r="H2044" t="s">
        <v>30</v>
      </c>
      <c r="I2044">
        <v>200</v>
      </c>
      <c r="J2044">
        <v>20</v>
      </c>
      <c r="K2044">
        <v>1.5</v>
      </c>
      <c r="M2044">
        <v>2.2</v>
      </c>
      <c r="O2044">
        <v>750</v>
      </c>
      <c r="P2044" t="s">
        <v>3249</v>
      </c>
      <c r="T2044">
        <v>2.5</v>
      </c>
      <c r="U2044" t="s">
        <v>3250</v>
      </c>
      <c r="W2044" t="s">
        <v>3251</v>
      </c>
      <c r="Y2044" t="s">
        <v>681</v>
      </c>
    </row>
    <row r="2045" spans="1:25">
      <c r="A2045" t="s">
        <v>3252</v>
      </c>
      <c r="B2045" s="2" t="str">
        <f>Hyperlink("https://www.diodes.com/datasheet/download/ZXMN2A01E6.pdf")</f>
        <v>https://www.diodes.com/datasheet/download/ZXMN2A01E6.pdf</v>
      </c>
      <c r="C2045" t="str">
        <f>Hyperlink("https://www.diodes.com/part/view/ZXMN2A01E6","ZXMN2A01E6")</f>
        <v>ZXMN2A01E6</v>
      </c>
      <c r="D2045" t="s">
        <v>631</v>
      </c>
      <c r="E2045" t="s">
        <v>27</v>
      </c>
      <c r="F2045" t="s">
        <v>28</v>
      </c>
      <c r="G2045" t="s">
        <v>29</v>
      </c>
      <c r="H2045" t="s">
        <v>30</v>
      </c>
      <c r="I2045">
        <v>20</v>
      </c>
      <c r="J2045">
        <v>12</v>
      </c>
      <c r="K2045">
        <v>2.5</v>
      </c>
      <c r="M2045">
        <v>1.1</v>
      </c>
      <c r="P2045">
        <v>120</v>
      </c>
      <c r="Q2045">
        <v>225</v>
      </c>
      <c r="S2045">
        <v>0.7</v>
      </c>
      <c r="U2045">
        <v>3</v>
      </c>
      <c r="W2045">
        <v>310</v>
      </c>
      <c r="Y2045" t="s">
        <v>339</v>
      </c>
    </row>
    <row r="2046" spans="1:25">
      <c r="A2046" t="s">
        <v>3253</v>
      </c>
      <c r="B2046" s="2" t="str">
        <f>Hyperlink("https://www.diodes.com/datasheet/download/ZXMN2A01F.pdf")</f>
        <v>https://www.diodes.com/datasheet/download/ZXMN2A01F.pdf</v>
      </c>
      <c r="C2046" t="str">
        <f>Hyperlink("https://www.diodes.com/part/view/ZXMN2A01F","ZXMN2A01F")</f>
        <v>ZXMN2A01F</v>
      </c>
      <c r="D2046" t="s">
        <v>631</v>
      </c>
      <c r="E2046" t="s">
        <v>27</v>
      </c>
      <c r="F2046" t="s">
        <v>28</v>
      </c>
      <c r="G2046" t="s">
        <v>29</v>
      </c>
      <c r="H2046" t="s">
        <v>30</v>
      </c>
      <c r="I2046">
        <v>20</v>
      </c>
      <c r="J2046">
        <v>12</v>
      </c>
      <c r="K2046">
        <v>1.9</v>
      </c>
      <c r="M2046">
        <v>0.625</v>
      </c>
      <c r="P2046">
        <v>120</v>
      </c>
      <c r="Q2046">
        <v>225</v>
      </c>
      <c r="S2046">
        <v>0.7</v>
      </c>
      <c r="V2046">
        <v>3</v>
      </c>
      <c r="W2046">
        <v>310</v>
      </c>
      <c r="Y2046" t="s">
        <v>35</v>
      </c>
    </row>
    <row r="2047" spans="1:25">
      <c r="A2047" t="s">
        <v>3254</v>
      </c>
      <c r="B2047" s="2" t="str">
        <f>Hyperlink("https://www.diodes.com/datasheet/download/ZXMN2A02N8.pdf")</f>
        <v>https://www.diodes.com/datasheet/download/ZXMN2A02N8.pdf</v>
      </c>
      <c r="C2047" t="str">
        <f>Hyperlink("https://www.diodes.com/part/view/ZXMN2A02N8","ZXMN2A02N8")</f>
        <v>ZXMN2A02N8</v>
      </c>
      <c r="D2047" t="s">
        <v>631</v>
      </c>
      <c r="E2047" t="s">
        <v>27</v>
      </c>
      <c r="F2047" t="s">
        <v>28</v>
      </c>
      <c r="G2047" t="s">
        <v>29</v>
      </c>
      <c r="H2047" t="s">
        <v>30</v>
      </c>
      <c r="I2047">
        <v>20</v>
      </c>
      <c r="J2047">
        <v>12</v>
      </c>
      <c r="K2047">
        <v>8.3</v>
      </c>
      <c r="M2047">
        <v>1.56</v>
      </c>
      <c r="P2047">
        <v>20</v>
      </c>
      <c r="Q2047">
        <v>40</v>
      </c>
      <c r="S2047">
        <v>0.7</v>
      </c>
      <c r="U2047">
        <v>18.9</v>
      </c>
      <c r="W2047">
        <v>1900</v>
      </c>
      <c r="Y2047" t="s">
        <v>213</v>
      </c>
    </row>
    <row r="2048" spans="1:25">
      <c r="A2048" t="s">
        <v>3255</v>
      </c>
      <c r="B2048" s="2" t="str">
        <f>Hyperlink("https://www.diodes.com/datasheet/download/ZXMN2A03E6.pdf")</f>
        <v>https://www.diodes.com/datasheet/download/ZXMN2A03E6.pdf</v>
      </c>
      <c r="C2048" t="str">
        <f>Hyperlink("https://www.diodes.com/part/view/ZXMN2A03E6","ZXMN2A03E6")</f>
        <v>ZXMN2A03E6</v>
      </c>
      <c r="D2048" t="s">
        <v>631</v>
      </c>
      <c r="E2048" t="s">
        <v>27</v>
      </c>
      <c r="F2048" t="s">
        <v>28</v>
      </c>
      <c r="G2048" t="s">
        <v>29</v>
      </c>
      <c r="H2048" t="s">
        <v>30</v>
      </c>
      <c r="I2048">
        <v>20</v>
      </c>
      <c r="J2048">
        <v>12</v>
      </c>
      <c r="K2048">
        <v>3.7</v>
      </c>
      <c r="M2048">
        <v>1.1</v>
      </c>
      <c r="P2048">
        <v>55</v>
      </c>
      <c r="Q2048">
        <v>100</v>
      </c>
      <c r="S2048">
        <v>0.7</v>
      </c>
      <c r="U2048">
        <v>8.2</v>
      </c>
      <c r="W2048">
        <v>837</v>
      </c>
      <c r="Y2048" t="s">
        <v>339</v>
      </c>
    </row>
    <row r="2049" spans="1:25">
      <c r="A2049" t="s">
        <v>3256</v>
      </c>
      <c r="B2049" s="2" t="str">
        <f>Hyperlink("https://www.diodes.com/datasheet/download/ZXMN2A04DN8.pdf")</f>
        <v>https://www.diodes.com/datasheet/download/ZXMN2A04DN8.pdf</v>
      </c>
      <c r="C2049" t="str">
        <f>Hyperlink("https://www.diodes.com/part/view/ZXMN2A04DN8","ZXMN2A04DN8")</f>
        <v>ZXMN2A04DN8</v>
      </c>
      <c r="D2049" t="s">
        <v>631</v>
      </c>
      <c r="E2049" t="s">
        <v>27</v>
      </c>
      <c r="F2049" t="s">
        <v>28</v>
      </c>
      <c r="G2049" t="s">
        <v>40</v>
      </c>
      <c r="H2049" t="s">
        <v>30</v>
      </c>
      <c r="I2049">
        <v>20</v>
      </c>
      <c r="J2049">
        <v>12</v>
      </c>
      <c r="K2049">
        <v>5.9</v>
      </c>
      <c r="M2049">
        <v>1.8</v>
      </c>
      <c r="P2049">
        <v>25</v>
      </c>
      <c r="Q2049">
        <v>35</v>
      </c>
      <c r="S2049">
        <v>0.7</v>
      </c>
      <c r="U2049">
        <v>40.5</v>
      </c>
      <c r="W2049">
        <v>1880</v>
      </c>
      <c r="Y2049" t="s">
        <v>213</v>
      </c>
    </row>
    <row r="2050" spans="1:25">
      <c r="A2050" t="s">
        <v>3257</v>
      </c>
      <c r="B2050" s="2" t="str">
        <f>Hyperlink("https://www.diodes.com/datasheet/download/ZXMN2A14F.pdf")</f>
        <v>https://www.diodes.com/datasheet/download/ZXMN2A14F.pdf</v>
      </c>
      <c r="C2050" t="str">
        <f>Hyperlink("https://www.diodes.com/part/view/ZXMN2A14F","ZXMN2A14F")</f>
        <v>ZXMN2A14F</v>
      </c>
      <c r="D2050" t="s">
        <v>631</v>
      </c>
      <c r="E2050" t="s">
        <v>27</v>
      </c>
      <c r="F2050" t="s">
        <v>28</v>
      </c>
      <c r="G2050" t="s">
        <v>29</v>
      </c>
      <c r="H2050" t="s">
        <v>30</v>
      </c>
      <c r="I2050">
        <v>20</v>
      </c>
      <c r="J2050">
        <v>12</v>
      </c>
      <c r="K2050">
        <v>3.4</v>
      </c>
      <c r="M2050">
        <v>1</v>
      </c>
      <c r="P2050">
        <v>60</v>
      </c>
      <c r="Q2050">
        <v>110</v>
      </c>
      <c r="S2050">
        <v>0.7</v>
      </c>
      <c r="U2050">
        <v>6.6</v>
      </c>
      <c r="W2050">
        <v>544</v>
      </c>
      <c r="Y2050" t="s">
        <v>35</v>
      </c>
    </row>
    <row r="2051" spans="1:25">
      <c r="A2051" t="s">
        <v>3258</v>
      </c>
      <c r="B2051" s="2" t="str">
        <f>Hyperlink("https://www.diodes.com/datasheet/download/ZXMN2AMC.pdf")</f>
        <v>https://www.diodes.com/datasheet/download/ZXMN2AMC.pdf</v>
      </c>
      <c r="C2051" t="str">
        <f>Hyperlink("https://www.diodes.com/part/view/ZXMN2AMC","ZXMN2AMC")</f>
        <v>ZXMN2AMC</v>
      </c>
      <c r="D2051" t="s">
        <v>631</v>
      </c>
      <c r="E2051" t="s">
        <v>27</v>
      </c>
      <c r="F2051" t="s">
        <v>28</v>
      </c>
      <c r="G2051" t="s">
        <v>40</v>
      </c>
      <c r="H2051" t="s">
        <v>30</v>
      </c>
      <c r="I2051">
        <v>20</v>
      </c>
      <c r="J2051">
        <v>12</v>
      </c>
      <c r="K2051">
        <v>2.9</v>
      </c>
      <c r="M2051">
        <v>1.7</v>
      </c>
      <c r="P2051">
        <v>120</v>
      </c>
      <c r="Q2051">
        <v>300</v>
      </c>
      <c r="S2051">
        <v>0.7</v>
      </c>
      <c r="U2051">
        <v>3.1</v>
      </c>
      <c r="W2051">
        <v>310</v>
      </c>
      <c r="Y2051" t="s">
        <v>2267</v>
      </c>
    </row>
    <row r="2052" spans="1:25">
      <c r="A2052" t="s">
        <v>3259</v>
      </c>
      <c r="B2052" s="2" t="str">
        <f>Hyperlink("https://www.diodes.com/datasheet/download/ZXMN2B01F.pdf")</f>
        <v>https://www.diodes.com/datasheet/download/ZXMN2B01F.pdf</v>
      </c>
      <c r="C2052" t="str">
        <f>Hyperlink("https://www.diodes.com/part/view/ZXMN2B01F","ZXMN2B01F")</f>
        <v>ZXMN2B01F</v>
      </c>
      <c r="D2052" t="s">
        <v>631</v>
      </c>
      <c r="E2052" t="s">
        <v>27</v>
      </c>
      <c r="F2052" t="s">
        <v>28</v>
      </c>
      <c r="G2052" t="s">
        <v>29</v>
      </c>
      <c r="H2052" t="s">
        <v>30</v>
      </c>
      <c r="I2052">
        <v>20</v>
      </c>
      <c r="J2052">
        <v>8</v>
      </c>
      <c r="K2052">
        <v>2.1</v>
      </c>
      <c r="M2052">
        <v>0.625</v>
      </c>
      <c r="P2052">
        <v>100</v>
      </c>
      <c r="Q2052">
        <v>150</v>
      </c>
      <c r="R2052">
        <v>200</v>
      </c>
      <c r="S2052">
        <v>0.4</v>
      </c>
      <c r="T2052">
        <v>1</v>
      </c>
      <c r="U2052">
        <v>4.8</v>
      </c>
      <c r="W2052">
        <v>370</v>
      </c>
      <c r="Y2052" t="s">
        <v>35</v>
      </c>
    </row>
    <row r="2053" spans="1:25">
      <c r="A2053" t="s">
        <v>3260</v>
      </c>
      <c r="B2053" s="2" t="str">
        <f>Hyperlink("https://www.diodes.com/datasheet/download/ZXMN2B03E6.pdf")</f>
        <v>https://www.diodes.com/datasheet/download/ZXMN2B03E6.pdf</v>
      </c>
      <c r="C2053" t="str">
        <f>Hyperlink("https://www.diodes.com/part/view/ZXMN2B03E6","ZXMN2B03E6")</f>
        <v>ZXMN2B03E6</v>
      </c>
      <c r="D2053" t="s">
        <v>631</v>
      </c>
      <c r="E2053" t="s">
        <v>27</v>
      </c>
      <c r="F2053" t="s">
        <v>28</v>
      </c>
      <c r="G2053" t="s">
        <v>29</v>
      </c>
      <c r="H2053" t="s">
        <v>30</v>
      </c>
      <c r="I2053">
        <v>20</v>
      </c>
      <c r="J2053">
        <v>8</v>
      </c>
      <c r="K2053">
        <v>4.3</v>
      </c>
      <c r="M2053">
        <v>1.1</v>
      </c>
      <c r="P2053">
        <v>40</v>
      </c>
      <c r="Q2053">
        <v>55</v>
      </c>
      <c r="R2053">
        <v>75</v>
      </c>
      <c r="S2053">
        <v>0.4</v>
      </c>
      <c r="T2053">
        <v>1</v>
      </c>
      <c r="U2053">
        <v>14.5</v>
      </c>
      <c r="W2053">
        <v>1160</v>
      </c>
      <c r="Y2053" t="s">
        <v>339</v>
      </c>
    </row>
    <row r="2054" spans="1:25">
      <c r="A2054" t="s">
        <v>3261</v>
      </c>
      <c r="B2054" s="2" t="str">
        <f>Hyperlink("https://www.diodes.com/datasheet/download/ZXMN2B14FH.pdf")</f>
        <v>https://www.diodes.com/datasheet/download/ZXMN2B14FH.pdf</v>
      </c>
      <c r="C2054" t="str">
        <f>Hyperlink("https://www.diodes.com/part/view/ZXMN2B14FH","ZXMN2B14FH")</f>
        <v>ZXMN2B14FH</v>
      </c>
      <c r="D2054" t="s">
        <v>631</v>
      </c>
      <c r="E2054" t="s">
        <v>27</v>
      </c>
      <c r="F2054" t="s">
        <v>28</v>
      </c>
      <c r="G2054" t="s">
        <v>29</v>
      </c>
      <c r="H2054" t="s">
        <v>30</v>
      </c>
      <c r="I2054">
        <v>20</v>
      </c>
      <c r="J2054">
        <v>8</v>
      </c>
      <c r="K2054">
        <v>3.5</v>
      </c>
      <c r="M2054">
        <v>1</v>
      </c>
      <c r="P2054">
        <v>55</v>
      </c>
      <c r="Q2054">
        <v>75</v>
      </c>
      <c r="R2054">
        <v>100</v>
      </c>
      <c r="T2054">
        <v>1</v>
      </c>
      <c r="U2054">
        <v>11</v>
      </c>
      <c r="W2054">
        <v>872</v>
      </c>
      <c r="Y2054" t="s">
        <v>35</v>
      </c>
    </row>
    <row r="2055" spans="1:25">
      <c r="A2055" t="s">
        <v>3262</v>
      </c>
      <c r="B2055" s="2" t="str">
        <f>Hyperlink("https://www.diodes.com/datasheet/download/ZXMN2F30FH.pdf")</f>
        <v>https://www.diodes.com/datasheet/download/ZXMN2F30FH.pdf</v>
      </c>
      <c r="C2055" t="str">
        <f>Hyperlink("https://www.diodes.com/part/view/ZXMN2F30FH","ZXMN2F30FH")</f>
        <v>ZXMN2F30FH</v>
      </c>
      <c r="D2055" t="s">
        <v>631</v>
      </c>
      <c r="E2055" t="s">
        <v>27</v>
      </c>
      <c r="F2055" t="s">
        <v>28</v>
      </c>
      <c r="G2055" t="s">
        <v>29</v>
      </c>
      <c r="H2055" t="s">
        <v>30</v>
      </c>
      <c r="I2055">
        <v>20</v>
      </c>
      <c r="J2055">
        <v>12</v>
      </c>
      <c r="K2055">
        <v>4.1</v>
      </c>
      <c r="M2055">
        <v>0.96</v>
      </c>
      <c r="P2055">
        <v>45</v>
      </c>
      <c r="Q2055">
        <v>65</v>
      </c>
      <c r="S2055">
        <v>0.6</v>
      </c>
      <c r="T2055">
        <v>1.5</v>
      </c>
      <c r="U2055">
        <v>4.8</v>
      </c>
      <c r="W2055">
        <v>452</v>
      </c>
      <c r="Y2055" t="s">
        <v>35</v>
      </c>
    </row>
    <row r="2056" spans="1:25">
      <c r="A2056" t="s">
        <v>3263</v>
      </c>
      <c r="B2056" s="2" t="str">
        <f>Hyperlink("https://www.diodes.com/datasheet/download/ZXMN2F34FH.pdf")</f>
        <v>https://www.diodes.com/datasheet/download/ZXMN2F34FH.pdf</v>
      </c>
      <c r="C2056" t="str">
        <f>Hyperlink("https://www.diodes.com/part/view/ZXMN2F34FH","ZXMN2F34FH")</f>
        <v>ZXMN2F34FH</v>
      </c>
      <c r="D2056" t="s">
        <v>631</v>
      </c>
      <c r="E2056" t="s">
        <v>27</v>
      </c>
      <c r="F2056" t="s">
        <v>28</v>
      </c>
      <c r="G2056" t="s">
        <v>29</v>
      </c>
      <c r="H2056" t="s">
        <v>30</v>
      </c>
      <c r="I2056">
        <v>20</v>
      </c>
      <c r="J2056">
        <v>12</v>
      </c>
      <c r="K2056">
        <v>3.4</v>
      </c>
      <c r="M2056">
        <v>0.95</v>
      </c>
      <c r="P2056">
        <v>60</v>
      </c>
      <c r="Q2056">
        <v>120</v>
      </c>
      <c r="S2056">
        <v>0.5</v>
      </c>
      <c r="T2056">
        <v>1.5</v>
      </c>
      <c r="U2056">
        <v>2.8</v>
      </c>
      <c r="W2056">
        <v>277</v>
      </c>
      <c r="Y2056" t="s">
        <v>35</v>
      </c>
    </row>
    <row r="2057" spans="1:25">
      <c r="A2057" t="s">
        <v>3264</v>
      </c>
      <c r="B2057" s="2" t="str">
        <f>Hyperlink("https://www.diodes.com/datasheet/download/ZXMN3A01E6.pdf")</f>
        <v>https://www.diodes.com/datasheet/download/ZXMN3A01E6.pdf</v>
      </c>
      <c r="C2057" t="str">
        <f>Hyperlink("https://www.diodes.com/part/view/ZXMN3A01E6","ZXMN3A01E6")</f>
        <v>ZXMN3A01E6</v>
      </c>
      <c r="D2057" t="s">
        <v>26</v>
      </c>
      <c r="E2057" t="s">
        <v>27</v>
      </c>
      <c r="F2057" t="s">
        <v>28</v>
      </c>
      <c r="G2057" t="s">
        <v>29</v>
      </c>
      <c r="H2057" t="s">
        <v>30</v>
      </c>
      <c r="I2057">
        <v>30</v>
      </c>
      <c r="J2057">
        <v>20</v>
      </c>
      <c r="K2057">
        <v>2.4</v>
      </c>
      <c r="M2057">
        <v>1.1</v>
      </c>
      <c r="O2057">
        <v>120</v>
      </c>
      <c r="P2057">
        <v>180</v>
      </c>
      <c r="U2057" t="s">
        <v>3265</v>
      </c>
      <c r="V2057">
        <v>3.9</v>
      </c>
      <c r="W2057">
        <v>190</v>
      </c>
      <c r="Y2057" t="s">
        <v>339</v>
      </c>
    </row>
    <row r="2058" spans="1:25">
      <c r="A2058" t="s">
        <v>3266</v>
      </c>
      <c r="B2058" s="2" t="str">
        <f>Hyperlink("https://www.diodes.com/datasheet/download/ZXMN3A01F.pdf")</f>
        <v>https://www.diodes.com/datasheet/download/ZXMN3A01F.pdf</v>
      </c>
      <c r="C2058" t="str">
        <f>Hyperlink("https://www.diodes.com/part/view/ZXMN3A01F","ZXMN3A01F")</f>
        <v>ZXMN3A01F</v>
      </c>
      <c r="D2058" t="s">
        <v>26</v>
      </c>
      <c r="E2058" t="s">
        <v>27</v>
      </c>
      <c r="F2058" t="s">
        <v>28</v>
      </c>
      <c r="G2058" t="s">
        <v>29</v>
      </c>
      <c r="H2058" t="s">
        <v>30</v>
      </c>
      <c r="I2058">
        <v>30</v>
      </c>
      <c r="J2058">
        <v>20</v>
      </c>
      <c r="K2058">
        <v>1.8</v>
      </c>
      <c r="M2058">
        <v>0.625</v>
      </c>
      <c r="O2058">
        <v>120</v>
      </c>
      <c r="P2058">
        <v>180</v>
      </c>
      <c r="T2058">
        <v>2.5</v>
      </c>
      <c r="U2058" t="s">
        <v>3265</v>
      </c>
      <c r="V2058">
        <v>3.9</v>
      </c>
      <c r="W2058">
        <v>190</v>
      </c>
      <c r="Y2058" t="s">
        <v>35</v>
      </c>
    </row>
    <row r="2059" spans="1:25">
      <c r="A2059" t="s">
        <v>3267</v>
      </c>
      <c r="B2059" s="2" t="str">
        <f>Hyperlink("https://www.diodes.com/datasheet/download/ZXMN3A01Z.pdf")</f>
        <v>https://www.diodes.com/datasheet/download/ZXMN3A01Z.pdf</v>
      </c>
      <c r="C2059" t="str">
        <f>Hyperlink("https://www.diodes.com/part/view/ZXMN3A01Z","ZXMN3A01Z")</f>
        <v>ZXMN3A01Z</v>
      </c>
      <c r="D2059" t="s">
        <v>26</v>
      </c>
      <c r="E2059" t="s">
        <v>27</v>
      </c>
      <c r="F2059" t="s">
        <v>28</v>
      </c>
      <c r="G2059" t="s">
        <v>29</v>
      </c>
      <c r="H2059" t="s">
        <v>30</v>
      </c>
      <c r="I2059">
        <v>30</v>
      </c>
      <c r="J2059">
        <v>20</v>
      </c>
      <c r="K2059">
        <v>3.3</v>
      </c>
      <c r="M2059">
        <v>2.12</v>
      </c>
      <c r="O2059">
        <v>120</v>
      </c>
      <c r="P2059">
        <v>180</v>
      </c>
      <c r="U2059">
        <v>2.6</v>
      </c>
      <c r="V2059">
        <v>5</v>
      </c>
      <c r="Y2059" t="s">
        <v>1445</v>
      </c>
    </row>
    <row r="2060" spans="1:25">
      <c r="A2060" t="s">
        <v>3268</v>
      </c>
      <c r="B2060" s="2" t="str">
        <f>Hyperlink("https://www.diodes.com/datasheet/download/ZXMN3A02X8.pdf")</f>
        <v>https://www.diodes.com/datasheet/download/ZXMN3A02X8.pdf</v>
      </c>
      <c r="C2060" t="str">
        <f>Hyperlink("https://www.diodes.com/part/view/ZXMN3A02X8","ZXMN3A02X8")</f>
        <v>ZXMN3A02X8</v>
      </c>
      <c r="D2060" t="s">
        <v>666</v>
      </c>
      <c r="E2060" t="s">
        <v>27</v>
      </c>
      <c r="F2060" t="s">
        <v>28</v>
      </c>
      <c r="G2060" t="s">
        <v>29</v>
      </c>
      <c r="H2060" t="s">
        <v>30</v>
      </c>
      <c r="I2060">
        <v>30</v>
      </c>
      <c r="J2060">
        <v>20</v>
      </c>
      <c r="K2060">
        <v>5.3</v>
      </c>
      <c r="M2060">
        <v>1.1</v>
      </c>
      <c r="O2060">
        <v>25</v>
      </c>
      <c r="P2060">
        <v>35</v>
      </c>
      <c r="U2060" t="s">
        <v>3269</v>
      </c>
      <c r="V2060">
        <v>26.8</v>
      </c>
      <c r="W2060">
        <v>1400</v>
      </c>
      <c r="Y2060" t="s">
        <v>3126</v>
      </c>
    </row>
    <row r="2061" spans="1:25">
      <c r="A2061" t="s">
        <v>3270</v>
      </c>
      <c r="B2061" s="2" t="str">
        <f>Hyperlink("https://www.diodes.com/datasheet/download/ZXMN3A03E6.pdf")</f>
        <v>https://www.diodes.com/datasheet/download/ZXMN3A03E6.pdf</v>
      </c>
      <c r="C2061" t="str">
        <f>Hyperlink("https://www.diodes.com/part/view/ZXMN3A03E6","ZXMN3A03E6")</f>
        <v>ZXMN3A03E6</v>
      </c>
      <c r="D2061" t="s">
        <v>26</v>
      </c>
      <c r="E2061" t="s">
        <v>27</v>
      </c>
      <c r="F2061" t="s">
        <v>28</v>
      </c>
      <c r="G2061" t="s">
        <v>29</v>
      </c>
      <c r="H2061" t="s">
        <v>30</v>
      </c>
      <c r="I2061">
        <v>30</v>
      </c>
      <c r="J2061">
        <v>20</v>
      </c>
      <c r="K2061">
        <v>3.7</v>
      </c>
      <c r="M2061">
        <v>1.1</v>
      </c>
      <c r="O2061">
        <v>50</v>
      </c>
      <c r="P2061">
        <v>65</v>
      </c>
      <c r="U2061" t="s">
        <v>3271</v>
      </c>
      <c r="V2061">
        <v>12.6</v>
      </c>
      <c r="W2061">
        <v>600</v>
      </c>
      <c r="Y2061" t="s">
        <v>339</v>
      </c>
    </row>
    <row r="2062" spans="1:25">
      <c r="A2062" t="s">
        <v>3272</v>
      </c>
      <c r="B2062" s="2" t="str">
        <f>Hyperlink("https://www.diodes.com/datasheet/download/ZXMN3A04DN8.pdf")</f>
        <v>https://www.diodes.com/datasheet/download/ZXMN3A04DN8.pdf</v>
      </c>
      <c r="C2062" t="str">
        <f>Hyperlink("https://www.diodes.com/part/view/ZXMN3A04DN8","ZXMN3A04DN8")</f>
        <v>ZXMN3A04DN8</v>
      </c>
      <c r="D2062" t="s">
        <v>39</v>
      </c>
      <c r="E2062" t="s">
        <v>30</v>
      </c>
      <c r="F2062" t="s">
        <v>28</v>
      </c>
      <c r="G2062" t="s">
        <v>40</v>
      </c>
      <c r="H2062" t="s">
        <v>30</v>
      </c>
      <c r="I2062">
        <v>30</v>
      </c>
      <c r="J2062">
        <v>20</v>
      </c>
      <c r="K2062">
        <v>6.5</v>
      </c>
      <c r="M2062">
        <v>1.81</v>
      </c>
      <c r="O2062">
        <v>20</v>
      </c>
      <c r="P2062">
        <v>30</v>
      </c>
      <c r="U2062" t="s">
        <v>3273</v>
      </c>
      <c r="V2062">
        <v>36.8</v>
      </c>
      <c r="Y2062" t="s">
        <v>213</v>
      </c>
    </row>
    <row r="2063" spans="1:25">
      <c r="A2063" t="s">
        <v>3274</v>
      </c>
      <c r="B2063" s="2" t="str">
        <f>Hyperlink("https://www.diodes.com/datasheet/download/ZXMN3A04K.pdf")</f>
        <v>https://www.diodes.com/datasheet/download/ZXMN3A04K.pdf</v>
      </c>
      <c r="C2063" t="str">
        <f>Hyperlink("https://www.diodes.com/part/view/ZXMN3A04K","ZXMN3A04K")</f>
        <v>ZXMN3A04K</v>
      </c>
      <c r="D2063" t="s">
        <v>26</v>
      </c>
      <c r="E2063" t="s">
        <v>27</v>
      </c>
      <c r="F2063" t="s">
        <v>28</v>
      </c>
      <c r="G2063" t="s">
        <v>29</v>
      </c>
      <c r="H2063" t="s">
        <v>30</v>
      </c>
      <c r="I2063">
        <v>30</v>
      </c>
      <c r="J2063">
        <v>20</v>
      </c>
      <c r="K2063">
        <v>12</v>
      </c>
      <c r="M2063">
        <v>2.15</v>
      </c>
      <c r="O2063">
        <v>20</v>
      </c>
      <c r="P2063">
        <v>30</v>
      </c>
      <c r="U2063" t="s">
        <v>3273</v>
      </c>
      <c r="V2063">
        <v>36.8</v>
      </c>
      <c r="Y2063" t="s">
        <v>681</v>
      </c>
    </row>
    <row r="2064" spans="1:25">
      <c r="A2064" t="s">
        <v>3275</v>
      </c>
      <c r="B2064" s="2" t="str">
        <f>Hyperlink("https://www.diodes.com/datasheet/download/ZXMN3A06DN8.pdf")</f>
        <v>https://www.diodes.com/datasheet/download/ZXMN3A06DN8.pdf</v>
      </c>
      <c r="C2064" t="str">
        <f>Hyperlink("https://www.diodes.com/part/view/ZXMN3A06DN8","ZXMN3A06DN8")</f>
        <v>ZXMN3A06DN8</v>
      </c>
      <c r="D2064" t="s">
        <v>39</v>
      </c>
      <c r="E2064" t="s">
        <v>27</v>
      </c>
      <c r="F2064" t="s">
        <v>28</v>
      </c>
      <c r="G2064" t="s">
        <v>40</v>
      </c>
      <c r="H2064" t="s">
        <v>30</v>
      </c>
      <c r="I2064">
        <v>30</v>
      </c>
      <c r="J2064">
        <v>20</v>
      </c>
      <c r="K2064">
        <v>6.2</v>
      </c>
      <c r="M2064">
        <v>1.8</v>
      </c>
      <c r="O2064">
        <v>35</v>
      </c>
      <c r="P2064">
        <v>50</v>
      </c>
      <c r="T2064">
        <v>1</v>
      </c>
      <c r="U2064" t="s">
        <v>3276</v>
      </c>
      <c r="V2064">
        <v>17.5</v>
      </c>
      <c r="Y2064" t="s">
        <v>213</v>
      </c>
    </row>
    <row r="2065" spans="1:25">
      <c r="A2065" t="s">
        <v>3277</v>
      </c>
      <c r="B2065" s="2" t="str">
        <f>Hyperlink("https://www.diodes.com/datasheet/download/ZXMN3A14F.pdf")</f>
        <v>https://www.diodes.com/datasheet/download/ZXMN3A14F.pdf</v>
      </c>
      <c r="C2065" t="str">
        <f>Hyperlink("https://www.diodes.com/part/view/ZXMN3A14F","ZXMN3A14F")</f>
        <v>ZXMN3A14F</v>
      </c>
      <c r="D2065" t="s">
        <v>26</v>
      </c>
      <c r="E2065" t="s">
        <v>27</v>
      </c>
      <c r="F2065" t="s">
        <v>28</v>
      </c>
      <c r="G2065" t="s">
        <v>29</v>
      </c>
      <c r="H2065" t="s">
        <v>30</v>
      </c>
      <c r="I2065">
        <v>30</v>
      </c>
      <c r="J2065">
        <v>20</v>
      </c>
      <c r="K2065">
        <v>3.9</v>
      </c>
      <c r="M2065">
        <v>1</v>
      </c>
      <c r="O2065">
        <v>65</v>
      </c>
      <c r="P2065">
        <v>95</v>
      </c>
      <c r="T2065">
        <v>2.2</v>
      </c>
      <c r="V2065">
        <v>8.6</v>
      </c>
      <c r="W2065">
        <v>448</v>
      </c>
      <c r="Y2065" t="s">
        <v>35</v>
      </c>
    </row>
    <row r="2066" spans="1:25">
      <c r="A2066" t="s">
        <v>3278</v>
      </c>
      <c r="B2066" s="2" t="str">
        <f>Hyperlink("https://www.diodes.com/datasheet/download/ZXMN3A14FQ.pdf")</f>
        <v>https://www.diodes.com/datasheet/download/ZXMN3A14FQ.pdf</v>
      </c>
      <c r="C2066" t="str">
        <f>Hyperlink("https://www.diodes.com/part/view/ZXMN3A14FQ","ZXMN3A14FQ")</f>
        <v>ZXMN3A14FQ</v>
      </c>
      <c r="D2066" t="s">
        <v>666</v>
      </c>
      <c r="E2066" t="s">
        <v>27</v>
      </c>
      <c r="F2066" t="s">
        <v>37</v>
      </c>
      <c r="G2066" t="s">
        <v>29</v>
      </c>
      <c r="H2066" t="s">
        <v>30</v>
      </c>
      <c r="I2066">
        <v>30</v>
      </c>
      <c r="J2066">
        <v>20</v>
      </c>
      <c r="K2066">
        <v>3.9</v>
      </c>
      <c r="M2066">
        <v>1</v>
      </c>
      <c r="O2066">
        <v>65</v>
      </c>
      <c r="P2066">
        <v>95</v>
      </c>
      <c r="T2066">
        <v>2.2</v>
      </c>
      <c r="V2066">
        <v>8.6</v>
      </c>
      <c r="W2066">
        <v>448</v>
      </c>
      <c r="X2066">
        <v>15</v>
      </c>
      <c r="Y2066" t="s">
        <v>35</v>
      </c>
    </row>
    <row r="2067" spans="1:25">
      <c r="A2067" t="s">
        <v>3279</v>
      </c>
      <c r="B2067" s="2" t="str">
        <f>Hyperlink("https://www.diodes.com/datasheet/download/ZXMN3AMC.pdf")</f>
        <v>https://www.diodes.com/datasheet/download/ZXMN3AMC.pdf</v>
      </c>
      <c r="C2067" t="str">
        <f>Hyperlink("https://www.diodes.com/part/view/ZXMN3AMC","ZXMN3AMC")</f>
        <v>ZXMN3AMC</v>
      </c>
      <c r="D2067" t="s">
        <v>1141</v>
      </c>
      <c r="E2067" t="s">
        <v>27</v>
      </c>
      <c r="F2067" t="s">
        <v>28</v>
      </c>
      <c r="G2067" t="s">
        <v>40</v>
      </c>
      <c r="H2067" t="s">
        <v>30</v>
      </c>
      <c r="I2067">
        <v>30</v>
      </c>
      <c r="J2067">
        <v>20</v>
      </c>
      <c r="K2067" t="s">
        <v>3280</v>
      </c>
      <c r="M2067">
        <v>1.7</v>
      </c>
      <c r="O2067">
        <v>120</v>
      </c>
      <c r="P2067">
        <v>180</v>
      </c>
      <c r="T2067">
        <v>3</v>
      </c>
      <c r="U2067">
        <v>2.3</v>
      </c>
      <c r="V2067">
        <v>3.9</v>
      </c>
      <c r="W2067">
        <v>190</v>
      </c>
      <c r="Y2067" t="s">
        <v>2267</v>
      </c>
    </row>
    <row r="2068" spans="1:25">
      <c r="A2068" t="s">
        <v>3281</v>
      </c>
      <c r="B2068" s="2" t="str">
        <f>Hyperlink("https://www.diodes.com/datasheet/download/ZXMN3B01F.pdf")</f>
        <v>https://www.diodes.com/datasheet/download/ZXMN3B01F.pdf</v>
      </c>
      <c r="C2068" t="str">
        <f>Hyperlink("https://www.diodes.com/part/view/ZXMN3B01F","ZXMN3B01F")</f>
        <v>ZXMN3B01F</v>
      </c>
      <c r="D2068" t="s">
        <v>26</v>
      </c>
      <c r="E2068" t="s">
        <v>30</v>
      </c>
      <c r="F2068" t="s">
        <v>28</v>
      </c>
      <c r="G2068" t="s">
        <v>29</v>
      </c>
      <c r="H2068" t="s">
        <v>30</v>
      </c>
      <c r="I2068">
        <v>30</v>
      </c>
      <c r="J2068">
        <v>12</v>
      </c>
      <c r="K2068">
        <v>2</v>
      </c>
      <c r="M2068">
        <v>0.625</v>
      </c>
      <c r="P2068">
        <v>150</v>
      </c>
      <c r="Q2068">
        <v>240</v>
      </c>
      <c r="T2068">
        <v>0.7</v>
      </c>
      <c r="U2068">
        <v>2.93</v>
      </c>
      <c r="W2068">
        <v>258</v>
      </c>
      <c r="Y2068" t="s">
        <v>35</v>
      </c>
    </row>
    <row r="2069" spans="1:25">
      <c r="A2069" t="s">
        <v>3282</v>
      </c>
      <c r="B2069" s="2" t="str">
        <f>Hyperlink("https://www.diodes.com/datasheet/download/ZXMN3B04N8.pdf")</f>
        <v>https://www.diodes.com/datasheet/download/ZXMN3B04N8.pdf</v>
      </c>
      <c r="C2069" t="str">
        <f>Hyperlink("https://www.diodes.com/part/view/ZXMN3B04N8","ZXMN3B04N8")</f>
        <v>ZXMN3B04N8</v>
      </c>
      <c r="D2069" t="s">
        <v>26</v>
      </c>
      <c r="E2069" t="s">
        <v>27</v>
      </c>
      <c r="F2069" t="s">
        <v>28</v>
      </c>
      <c r="G2069" t="s">
        <v>29</v>
      </c>
      <c r="H2069" t="s">
        <v>30</v>
      </c>
      <c r="I2069">
        <v>30</v>
      </c>
      <c r="J2069">
        <v>12</v>
      </c>
      <c r="K2069">
        <v>8.9</v>
      </c>
      <c r="M2069">
        <v>2</v>
      </c>
      <c r="P2069">
        <v>25</v>
      </c>
      <c r="Q2069">
        <v>40</v>
      </c>
      <c r="T2069">
        <v>0.7</v>
      </c>
      <c r="U2069">
        <v>23.1</v>
      </c>
      <c r="W2069">
        <v>2480</v>
      </c>
      <c r="Y2069" t="s">
        <v>213</v>
      </c>
    </row>
    <row r="2070" spans="1:25">
      <c r="A2070" t="s">
        <v>3283</v>
      </c>
      <c r="B2070" s="2" t="str">
        <f>Hyperlink("https://www.diodes.com/datasheet/download/ZXMN3B14F.pdf")</f>
        <v>https://www.diodes.com/datasheet/download/ZXMN3B14F.pdf</v>
      </c>
      <c r="C2070" t="str">
        <f>Hyperlink("https://www.diodes.com/part/view/ZXMN3B14F","ZXMN3B14F")</f>
        <v>ZXMN3B14F</v>
      </c>
      <c r="D2070" t="s">
        <v>26</v>
      </c>
      <c r="E2070" t="s">
        <v>27</v>
      </c>
      <c r="F2070" t="s">
        <v>28</v>
      </c>
      <c r="G2070" t="s">
        <v>29</v>
      </c>
      <c r="H2070" t="s">
        <v>30</v>
      </c>
      <c r="I2070">
        <v>30</v>
      </c>
      <c r="J2070">
        <v>12</v>
      </c>
      <c r="K2070">
        <v>3.5</v>
      </c>
      <c r="M2070">
        <v>1</v>
      </c>
      <c r="P2070">
        <v>80</v>
      </c>
      <c r="Q2070">
        <v>140</v>
      </c>
      <c r="T2070">
        <v>0.7</v>
      </c>
      <c r="U2070">
        <v>6.7</v>
      </c>
      <c r="W2070">
        <v>568</v>
      </c>
      <c r="Y2070" t="s">
        <v>35</v>
      </c>
    </row>
    <row r="2071" spans="1:25">
      <c r="A2071" t="s">
        <v>3284</v>
      </c>
      <c r="B2071" s="2" t="str">
        <f>Hyperlink("https://www.diodes.com/datasheet/download/ZXMN3F30FH.pdf")</f>
        <v>https://www.diodes.com/datasheet/download/ZXMN3F30FH.pdf</v>
      </c>
      <c r="C2071" t="str">
        <f>Hyperlink("https://www.diodes.com/part/view/ZXMN3F30FH","ZXMN3F30FH")</f>
        <v>ZXMN3F30FH</v>
      </c>
      <c r="D2071" t="s">
        <v>26</v>
      </c>
      <c r="E2071" t="s">
        <v>27</v>
      </c>
      <c r="F2071" t="s">
        <v>28</v>
      </c>
      <c r="G2071" t="s">
        <v>29</v>
      </c>
      <c r="H2071" t="s">
        <v>30</v>
      </c>
      <c r="I2071">
        <v>30</v>
      </c>
      <c r="J2071">
        <v>20</v>
      </c>
      <c r="K2071" t="s">
        <v>3285</v>
      </c>
      <c r="M2071">
        <v>0.95</v>
      </c>
      <c r="O2071">
        <v>47</v>
      </c>
      <c r="P2071">
        <v>65</v>
      </c>
      <c r="T2071">
        <v>3</v>
      </c>
      <c r="V2071">
        <v>7.7</v>
      </c>
      <c r="W2071">
        <v>318</v>
      </c>
      <c r="Y2071" t="s">
        <v>35</v>
      </c>
    </row>
    <row r="2072" spans="1:25">
      <c r="A2072" t="s">
        <v>3286</v>
      </c>
      <c r="B2072" s="2" t="str">
        <f>Hyperlink("https://www.diodes.com/datasheet/download/ZXMN3F31DN8.pdf")</f>
        <v>https://www.diodes.com/datasheet/download/ZXMN3F31DN8.pdf</v>
      </c>
      <c r="C2072" t="str">
        <f>Hyperlink("https://www.diodes.com/part/view/ZXMN3F31DN8","ZXMN3F31DN8")</f>
        <v>ZXMN3F31DN8</v>
      </c>
      <c r="D2072" t="s">
        <v>39</v>
      </c>
      <c r="E2072" t="s">
        <v>27</v>
      </c>
      <c r="F2072" t="s">
        <v>28</v>
      </c>
      <c r="G2072" t="s">
        <v>40</v>
      </c>
      <c r="H2072" t="s">
        <v>30</v>
      </c>
      <c r="I2072">
        <v>30</v>
      </c>
      <c r="J2072">
        <v>20</v>
      </c>
      <c r="K2072" t="s">
        <v>3287</v>
      </c>
      <c r="M2072">
        <v>1.8</v>
      </c>
      <c r="O2072">
        <v>24</v>
      </c>
      <c r="P2072">
        <v>39</v>
      </c>
      <c r="T2072">
        <v>3</v>
      </c>
      <c r="U2072">
        <v>6.3</v>
      </c>
      <c r="V2072">
        <v>12.9</v>
      </c>
      <c r="W2072">
        <v>608</v>
      </c>
      <c r="Y2072" t="s">
        <v>213</v>
      </c>
    </row>
    <row r="2073" spans="1:25">
      <c r="A2073" t="s">
        <v>3288</v>
      </c>
      <c r="B2073" s="2" t="str">
        <f>Hyperlink("https://www.diodes.com/datasheet/download/ZXMN3G32DN8.pdf")</f>
        <v>https://www.diodes.com/datasheet/download/ZXMN3G32DN8.pdf</v>
      </c>
      <c r="C2073" t="str">
        <f>Hyperlink("https://www.diodes.com/part/view/ZXMN3G32DN8","ZXMN3G32DN8")</f>
        <v>ZXMN3G32DN8</v>
      </c>
      <c r="D2073" t="s">
        <v>39</v>
      </c>
      <c r="E2073" t="s">
        <v>27</v>
      </c>
      <c r="F2073" t="s">
        <v>28</v>
      </c>
      <c r="G2073" t="s">
        <v>40</v>
      </c>
      <c r="H2073" t="s">
        <v>30</v>
      </c>
      <c r="I2073">
        <v>30</v>
      </c>
      <c r="J2073">
        <v>20</v>
      </c>
      <c r="K2073" t="s">
        <v>3289</v>
      </c>
      <c r="M2073">
        <v>1.8</v>
      </c>
      <c r="O2073">
        <v>28</v>
      </c>
      <c r="P2073">
        <v>45</v>
      </c>
      <c r="T2073">
        <v>3</v>
      </c>
      <c r="V2073">
        <v>10.5</v>
      </c>
      <c r="Y2073" t="s">
        <v>213</v>
      </c>
    </row>
    <row r="2074" spans="1:25">
      <c r="A2074" t="s">
        <v>3290</v>
      </c>
      <c r="B2074" s="2" t="str">
        <f>Hyperlink("https://www.diodes.com/datasheet/download/ZXMN4A06G.pdf")</f>
        <v>https://www.diodes.com/datasheet/download/ZXMN4A06G.pdf</v>
      </c>
      <c r="C2074" t="str">
        <f>Hyperlink("https://www.diodes.com/part/view/ZXMN4A06G","ZXMN4A06G")</f>
        <v>ZXMN4A06G</v>
      </c>
      <c r="D2074" t="s">
        <v>26</v>
      </c>
      <c r="E2074" t="s">
        <v>27</v>
      </c>
      <c r="F2074" t="s">
        <v>28</v>
      </c>
      <c r="G2074" t="s">
        <v>29</v>
      </c>
      <c r="H2074" t="s">
        <v>30</v>
      </c>
      <c r="I2074">
        <v>40</v>
      </c>
      <c r="J2074">
        <v>20</v>
      </c>
      <c r="K2074">
        <v>7</v>
      </c>
      <c r="M2074">
        <v>2</v>
      </c>
      <c r="O2074">
        <v>50</v>
      </c>
      <c r="P2074">
        <v>75</v>
      </c>
      <c r="T2074">
        <v>2</v>
      </c>
      <c r="V2074">
        <v>18.2</v>
      </c>
      <c r="W2074" t="s">
        <v>3291</v>
      </c>
      <c r="Y2074" t="s">
        <v>3028</v>
      </c>
    </row>
    <row r="2075" spans="1:25">
      <c r="A2075" t="s">
        <v>3292</v>
      </c>
      <c r="B2075" s="2" t="str">
        <f>Hyperlink("https://www.diodes.com/datasheet/download/ZXMN4A06GQ.pdf")</f>
        <v>https://www.diodes.com/datasheet/download/ZXMN4A06GQ.pdf</v>
      </c>
      <c r="C2075" t="str">
        <f>Hyperlink("https://www.diodes.com/part/view/ZXMN4A06GQ","ZXMN4A06GQ")</f>
        <v>ZXMN4A06GQ</v>
      </c>
      <c r="D2075" t="s">
        <v>1314</v>
      </c>
      <c r="E2075" t="s">
        <v>27</v>
      </c>
      <c r="F2075" t="s">
        <v>37</v>
      </c>
      <c r="G2075" t="s">
        <v>29</v>
      </c>
      <c r="H2075" t="s">
        <v>30</v>
      </c>
      <c r="I2075">
        <v>40</v>
      </c>
      <c r="J2075">
        <v>20</v>
      </c>
      <c r="K2075">
        <v>7</v>
      </c>
      <c r="M2075">
        <v>2</v>
      </c>
      <c r="O2075">
        <v>50</v>
      </c>
      <c r="P2075">
        <v>75</v>
      </c>
      <c r="V2075">
        <v>19</v>
      </c>
      <c r="Y2075" t="s">
        <v>820</v>
      </c>
    </row>
    <row r="2076" spans="1:25">
      <c r="A2076" t="s">
        <v>3293</v>
      </c>
      <c r="B2076" s="2" t="str">
        <f>Hyperlink("https://www.diodes.com/datasheet/download/ZXMN4A06K.pdf")</f>
        <v>https://www.diodes.com/datasheet/download/ZXMN4A06K.pdf</v>
      </c>
      <c r="C2076" t="str">
        <f>Hyperlink("https://www.diodes.com/part/view/ZXMN4A06K","ZXMN4A06K")</f>
        <v>ZXMN4A06K</v>
      </c>
      <c r="D2076" t="s">
        <v>26</v>
      </c>
      <c r="E2076" t="s">
        <v>27</v>
      </c>
      <c r="F2076" t="s">
        <v>28</v>
      </c>
      <c r="G2076" t="s">
        <v>29</v>
      </c>
      <c r="H2076" t="s">
        <v>30</v>
      </c>
      <c r="I2076">
        <v>40</v>
      </c>
      <c r="J2076">
        <v>20</v>
      </c>
      <c r="K2076">
        <v>10.9</v>
      </c>
      <c r="M2076">
        <v>2.15</v>
      </c>
      <c r="O2076">
        <v>50</v>
      </c>
      <c r="P2076">
        <v>75</v>
      </c>
      <c r="T2076">
        <v>1</v>
      </c>
      <c r="V2076">
        <v>17.1</v>
      </c>
      <c r="Y2076" t="s">
        <v>681</v>
      </c>
    </row>
    <row r="2077" spans="1:25">
      <c r="A2077" t="s">
        <v>3294</v>
      </c>
      <c r="B2077" s="2" t="str">
        <f>Hyperlink("https://www.diodes.com/datasheet/download/ZXMN6A07F.pdf")</f>
        <v>https://www.diodes.com/datasheet/download/ZXMN6A07F.pdf</v>
      </c>
      <c r="C2077" t="str">
        <f>Hyperlink("https://www.diodes.com/part/view/ZXMN6A07F","ZXMN6A07F")</f>
        <v>ZXMN6A07F</v>
      </c>
      <c r="D2077" t="s">
        <v>26</v>
      </c>
      <c r="E2077" t="s">
        <v>27</v>
      </c>
      <c r="F2077" t="s">
        <v>28</v>
      </c>
      <c r="G2077" t="s">
        <v>29</v>
      </c>
      <c r="H2077" t="s">
        <v>30</v>
      </c>
      <c r="I2077">
        <v>60</v>
      </c>
      <c r="J2077">
        <v>20</v>
      </c>
      <c r="K2077">
        <v>1.4</v>
      </c>
      <c r="M2077">
        <v>0.625</v>
      </c>
      <c r="O2077">
        <v>250</v>
      </c>
      <c r="P2077">
        <v>350</v>
      </c>
      <c r="T2077">
        <v>3</v>
      </c>
      <c r="U2077" t="s">
        <v>3295</v>
      </c>
      <c r="V2077">
        <v>3.2</v>
      </c>
      <c r="W2077" t="s">
        <v>3296</v>
      </c>
      <c r="Y2077" t="s">
        <v>35</v>
      </c>
    </row>
    <row r="2078" spans="1:25">
      <c r="A2078" t="s">
        <v>3297</v>
      </c>
      <c r="B2078" s="2" t="str">
        <f>Hyperlink("https://www.diodes.com/datasheet/download/ZXMN6A07FQ.pdf")</f>
        <v>https://www.diodes.com/datasheet/download/ZXMN6A07FQ.pdf</v>
      </c>
      <c r="C2078" t="str">
        <f>Hyperlink("https://www.diodes.com/part/view/ZXMN6A07FQ","ZXMN6A07FQ")</f>
        <v>ZXMN6A07FQ</v>
      </c>
      <c r="D2078" t="s">
        <v>1399</v>
      </c>
      <c r="E2078" t="s">
        <v>27</v>
      </c>
      <c r="F2078" t="s">
        <v>37</v>
      </c>
      <c r="G2078" t="s">
        <v>29</v>
      </c>
      <c r="H2078" t="s">
        <v>30</v>
      </c>
      <c r="I2078">
        <v>60</v>
      </c>
      <c r="J2078">
        <v>20</v>
      </c>
      <c r="K2078">
        <v>1.4</v>
      </c>
      <c r="M2078">
        <v>0.8</v>
      </c>
      <c r="O2078">
        <v>250</v>
      </c>
      <c r="P2078">
        <v>350</v>
      </c>
      <c r="S2078">
        <v>1</v>
      </c>
      <c r="T2078">
        <v>3</v>
      </c>
      <c r="U2078" t="s">
        <v>3298</v>
      </c>
      <c r="V2078">
        <v>3.2</v>
      </c>
      <c r="W2078">
        <v>166</v>
      </c>
      <c r="X2078">
        <v>40</v>
      </c>
      <c r="Y2078" t="s">
        <v>35</v>
      </c>
    </row>
    <row r="2079" spans="1:25">
      <c r="A2079" t="s">
        <v>3299</v>
      </c>
      <c r="B2079" s="2" t="str">
        <f>Hyperlink("https://www.diodes.com/datasheet/download/ZXMN6A07Z.pdf")</f>
        <v>https://www.diodes.com/datasheet/download/ZXMN6A07Z.pdf</v>
      </c>
      <c r="C2079" t="str">
        <f>Hyperlink("https://www.diodes.com/part/view/ZXMN6A07Z","ZXMN6A07Z")</f>
        <v>ZXMN6A07Z</v>
      </c>
      <c r="D2079" t="s">
        <v>26</v>
      </c>
      <c r="E2079" t="s">
        <v>27</v>
      </c>
      <c r="F2079" t="s">
        <v>28</v>
      </c>
      <c r="G2079" t="s">
        <v>29</v>
      </c>
      <c r="H2079" t="s">
        <v>30</v>
      </c>
      <c r="I2079">
        <v>60</v>
      </c>
      <c r="J2079">
        <v>20</v>
      </c>
      <c r="K2079">
        <v>2.5</v>
      </c>
      <c r="M2079">
        <v>1.5</v>
      </c>
      <c r="O2079">
        <v>250</v>
      </c>
      <c r="P2079">
        <v>350</v>
      </c>
      <c r="T2079">
        <v>3</v>
      </c>
      <c r="U2079" t="s">
        <v>3295</v>
      </c>
      <c r="V2079">
        <v>3.2</v>
      </c>
      <c r="W2079" t="s">
        <v>3296</v>
      </c>
      <c r="Y2079" t="s">
        <v>1445</v>
      </c>
    </row>
    <row r="2080" spans="1:25">
      <c r="A2080" t="s">
        <v>3300</v>
      </c>
      <c r="B2080" s="2" t="str">
        <f>Hyperlink("https://www.diodes.com/datasheet/download/ZXMN6A08E6.pdf")</f>
        <v>https://www.diodes.com/datasheet/download/ZXMN6A08E6.pdf</v>
      </c>
      <c r="C2080" t="str">
        <f>Hyperlink("https://www.diodes.com/part/view/ZXMN6A08E6","ZXMN6A08E6")</f>
        <v>ZXMN6A08E6</v>
      </c>
      <c r="D2080" t="s">
        <v>26</v>
      </c>
      <c r="E2080" t="s">
        <v>27</v>
      </c>
      <c r="F2080" t="s">
        <v>28</v>
      </c>
      <c r="G2080" t="s">
        <v>29</v>
      </c>
      <c r="H2080" t="s">
        <v>30</v>
      </c>
      <c r="I2080">
        <v>60</v>
      </c>
      <c r="J2080">
        <v>20</v>
      </c>
      <c r="K2080">
        <v>3.5</v>
      </c>
      <c r="M2080">
        <v>1.1</v>
      </c>
      <c r="O2080">
        <v>80</v>
      </c>
      <c r="P2080">
        <v>150</v>
      </c>
      <c r="T2080">
        <v>1</v>
      </c>
      <c r="U2080">
        <v>3.7</v>
      </c>
      <c r="V2080">
        <v>5.8</v>
      </c>
      <c r="W2080" t="s">
        <v>3301</v>
      </c>
      <c r="Y2080" t="s">
        <v>339</v>
      </c>
    </row>
    <row r="2081" spans="1:25">
      <c r="A2081" t="s">
        <v>3302</v>
      </c>
      <c r="B2081" s="2" t="str">
        <f>Hyperlink("https://www.diodes.com/datasheet/download/ZXMN6A08E6Q.pdf")</f>
        <v>https://www.diodes.com/datasheet/download/ZXMN6A08E6Q.pdf</v>
      </c>
      <c r="C2081" t="str">
        <f>Hyperlink("https://www.diodes.com/part/view/ZXMN6A08E6Q","ZXMN6A08E6Q")</f>
        <v>ZXMN6A08E6Q</v>
      </c>
      <c r="D2081" t="s">
        <v>1384</v>
      </c>
      <c r="E2081" t="s">
        <v>27</v>
      </c>
      <c r="F2081" t="s">
        <v>37</v>
      </c>
      <c r="G2081" t="s">
        <v>29</v>
      </c>
      <c r="H2081" t="s">
        <v>30</v>
      </c>
      <c r="I2081">
        <v>60</v>
      </c>
      <c r="J2081">
        <v>20</v>
      </c>
      <c r="K2081">
        <v>3.5</v>
      </c>
      <c r="M2081">
        <v>1.1</v>
      </c>
      <c r="O2081">
        <v>80</v>
      </c>
      <c r="P2081">
        <v>150</v>
      </c>
      <c r="T2081">
        <v>1</v>
      </c>
      <c r="U2081">
        <v>3.7</v>
      </c>
      <c r="V2081">
        <v>5.8</v>
      </c>
      <c r="Y2081" t="s">
        <v>339</v>
      </c>
    </row>
    <row r="2082" spans="1:25">
      <c r="A2082" t="s">
        <v>3303</v>
      </c>
      <c r="B2082" s="2" t="str">
        <f>Hyperlink("https://www.diodes.com/datasheet/download/ZXMN6A08G.pdf")</f>
        <v>https://www.diodes.com/datasheet/download/ZXMN6A08G.pdf</v>
      </c>
      <c r="C2082" t="str">
        <f>Hyperlink("https://www.diodes.com/part/view/ZXMN6A08G","ZXMN6A08G")</f>
        <v>ZXMN6A08G</v>
      </c>
      <c r="D2082" t="s">
        <v>26</v>
      </c>
      <c r="E2082" t="s">
        <v>27</v>
      </c>
      <c r="F2082" t="s">
        <v>28</v>
      </c>
      <c r="G2082" t="s">
        <v>29</v>
      </c>
      <c r="H2082" t="s">
        <v>30</v>
      </c>
      <c r="I2082">
        <v>60</v>
      </c>
      <c r="J2082">
        <v>20</v>
      </c>
      <c r="K2082">
        <v>5.3</v>
      </c>
      <c r="M2082">
        <v>2</v>
      </c>
      <c r="O2082">
        <v>80</v>
      </c>
      <c r="P2082">
        <v>150</v>
      </c>
      <c r="T2082">
        <v>1</v>
      </c>
      <c r="U2082" t="s">
        <v>3304</v>
      </c>
      <c r="V2082">
        <v>5.8</v>
      </c>
      <c r="W2082">
        <v>459</v>
      </c>
      <c r="X2082">
        <v>40</v>
      </c>
      <c r="Y2082" t="s">
        <v>3028</v>
      </c>
    </row>
    <row r="2083" spans="1:25">
      <c r="A2083" t="s">
        <v>3305</v>
      </c>
      <c r="B2083" s="2" t="str">
        <f>Hyperlink("https://www.diodes.com/datasheet/download/ZXMN6A08GQ.pdf")</f>
        <v>https://www.diodes.com/datasheet/download/ZXMN6A08GQ.pdf</v>
      </c>
      <c r="C2083" t="str">
        <f>Hyperlink("https://www.diodes.com/part/view/ZXMN6A08GQ","ZXMN6A08GQ")</f>
        <v>ZXMN6A08GQ</v>
      </c>
      <c r="D2083" t="s">
        <v>3306</v>
      </c>
      <c r="E2083" t="s">
        <v>27</v>
      </c>
      <c r="F2083" t="s">
        <v>37</v>
      </c>
      <c r="G2083" t="s">
        <v>29</v>
      </c>
      <c r="H2083" t="s">
        <v>30</v>
      </c>
      <c r="I2083">
        <v>60</v>
      </c>
      <c r="J2083">
        <v>20</v>
      </c>
      <c r="K2083">
        <v>5.3</v>
      </c>
      <c r="M2083">
        <v>2</v>
      </c>
      <c r="O2083">
        <v>80</v>
      </c>
      <c r="P2083">
        <v>150</v>
      </c>
      <c r="T2083">
        <v>1</v>
      </c>
      <c r="U2083" t="s">
        <v>3304</v>
      </c>
      <c r="V2083">
        <v>5.8</v>
      </c>
      <c r="W2083">
        <v>459</v>
      </c>
      <c r="X2083">
        <v>40</v>
      </c>
      <c r="Y2083" t="s">
        <v>3307</v>
      </c>
    </row>
    <row r="2084" spans="1:25">
      <c r="A2084" t="s">
        <v>3308</v>
      </c>
      <c r="B2084" s="2" t="str">
        <f>Hyperlink("https://www.diodes.com/datasheet/download/ZXMN6A08K.pdf")</f>
        <v>https://www.diodes.com/datasheet/download/ZXMN6A08K.pdf</v>
      </c>
      <c r="C2084" t="str">
        <f>Hyperlink("https://www.diodes.com/part/view/ZXMN6A08K","ZXMN6A08K")</f>
        <v>ZXMN6A08K</v>
      </c>
      <c r="D2084" t="s">
        <v>26</v>
      </c>
      <c r="E2084" t="s">
        <v>27</v>
      </c>
      <c r="F2084" t="s">
        <v>28</v>
      </c>
      <c r="G2084" t="s">
        <v>29</v>
      </c>
      <c r="H2084" t="s">
        <v>30</v>
      </c>
      <c r="I2084">
        <v>60</v>
      </c>
      <c r="J2084">
        <v>20</v>
      </c>
      <c r="K2084">
        <v>5.36</v>
      </c>
      <c r="M2084">
        <v>2.12</v>
      </c>
      <c r="O2084">
        <v>80</v>
      </c>
      <c r="P2084">
        <v>150</v>
      </c>
      <c r="T2084">
        <v>3</v>
      </c>
      <c r="U2084">
        <v>3.8</v>
      </c>
      <c r="V2084">
        <v>5.8</v>
      </c>
      <c r="W2084" t="s">
        <v>3301</v>
      </c>
      <c r="Y2084" t="s">
        <v>681</v>
      </c>
    </row>
    <row r="2085" spans="1:25">
      <c r="A2085" t="s">
        <v>3309</v>
      </c>
      <c r="B2085" s="2" t="str">
        <f>Hyperlink("https://www.diodes.com/datasheet/download/ZXMN6A09DN8.pdf")</f>
        <v>https://www.diodes.com/datasheet/download/ZXMN6A09DN8.pdf</v>
      </c>
      <c r="C2085" t="str">
        <f>Hyperlink("https://www.diodes.com/part/view/ZXMN6A09DN8","ZXMN6A09DN8")</f>
        <v>ZXMN6A09DN8</v>
      </c>
      <c r="D2085" t="s">
        <v>39</v>
      </c>
      <c r="E2085" t="s">
        <v>27</v>
      </c>
      <c r="F2085" t="s">
        <v>28</v>
      </c>
      <c r="G2085" t="s">
        <v>40</v>
      </c>
      <c r="H2085" t="s">
        <v>30</v>
      </c>
      <c r="I2085">
        <v>60</v>
      </c>
      <c r="J2085">
        <v>20</v>
      </c>
      <c r="K2085">
        <v>5.6</v>
      </c>
      <c r="M2085">
        <v>1.25</v>
      </c>
      <c r="O2085">
        <v>40</v>
      </c>
      <c r="P2085">
        <v>60</v>
      </c>
      <c r="T2085">
        <v>3</v>
      </c>
      <c r="U2085">
        <v>12.4</v>
      </c>
      <c r="V2085">
        <v>24.2</v>
      </c>
      <c r="W2085" t="s">
        <v>3310</v>
      </c>
      <c r="Y2085" t="s">
        <v>213</v>
      </c>
    </row>
    <row r="2086" spans="1:25">
      <c r="A2086" t="s">
        <v>3311</v>
      </c>
      <c r="B2086" s="2" t="str">
        <f>Hyperlink("https://www.diodes.com/datasheet/download/ZXMN6A09G.pdf")</f>
        <v>https://www.diodes.com/datasheet/download/ZXMN6A09G.pdf</v>
      </c>
      <c r="C2086" t="str">
        <f>Hyperlink("https://www.diodes.com/part/view/ZXMN6A09G","ZXMN6A09G")</f>
        <v>ZXMN6A09G</v>
      </c>
      <c r="D2086" t="s">
        <v>26</v>
      </c>
      <c r="E2086" t="s">
        <v>27</v>
      </c>
      <c r="F2086" t="s">
        <v>28</v>
      </c>
      <c r="G2086" t="s">
        <v>29</v>
      </c>
      <c r="H2086" t="s">
        <v>30</v>
      </c>
      <c r="I2086">
        <v>60</v>
      </c>
      <c r="J2086">
        <v>20</v>
      </c>
      <c r="K2086">
        <v>7.5</v>
      </c>
      <c r="M2086">
        <v>2</v>
      </c>
      <c r="O2086">
        <v>40</v>
      </c>
      <c r="P2086">
        <v>60</v>
      </c>
      <c r="T2086">
        <v>3</v>
      </c>
      <c r="U2086">
        <v>12.4</v>
      </c>
      <c r="V2086">
        <v>24.2</v>
      </c>
      <c r="W2086" t="s">
        <v>3310</v>
      </c>
      <c r="Y2086" t="s">
        <v>3028</v>
      </c>
    </row>
    <row r="2087" spans="1:25">
      <c r="A2087" t="s">
        <v>3312</v>
      </c>
      <c r="B2087" s="2" t="str">
        <f>Hyperlink("https://www.diodes.com/datasheet/download/ZXMN6A09GQ.pdf")</f>
        <v>https://www.diodes.com/datasheet/download/ZXMN6A09GQ.pdf</v>
      </c>
      <c r="C2087" t="str">
        <f>Hyperlink("https://www.diodes.com/part/view/ZXMN6A09GQ","ZXMN6A09GQ")</f>
        <v>ZXMN6A09GQ</v>
      </c>
      <c r="D2087" t="s">
        <v>1384</v>
      </c>
      <c r="E2087" t="s">
        <v>27</v>
      </c>
      <c r="F2087" t="s">
        <v>37</v>
      </c>
      <c r="G2087" t="s">
        <v>29</v>
      </c>
      <c r="H2087" t="s">
        <v>30</v>
      </c>
      <c r="I2087">
        <v>60</v>
      </c>
      <c r="J2087">
        <v>20</v>
      </c>
      <c r="K2087">
        <v>7.5</v>
      </c>
      <c r="M2087">
        <v>2</v>
      </c>
      <c r="O2087">
        <v>40</v>
      </c>
      <c r="P2087">
        <v>60</v>
      </c>
      <c r="T2087">
        <v>3</v>
      </c>
      <c r="U2087">
        <v>12.4</v>
      </c>
      <c r="V2087">
        <v>24.2</v>
      </c>
      <c r="W2087">
        <v>1407</v>
      </c>
      <c r="X2087">
        <v>40</v>
      </c>
      <c r="Y2087" t="s">
        <v>820</v>
      </c>
    </row>
    <row r="2088" spans="1:25">
      <c r="A2088" t="s">
        <v>3313</v>
      </c>
      <c r="B2088" s="2" t="str">
        <f>Hyperlink("https://www.diodes.com/datasheet/download/ZXMN6A09K.pdf")</f>
        <v>https://www.diodes.com/datasheet/download/ZXMN6A09K.pdf</v>
      </c>
      <c r="C2088" t="str">
        <f>Hyperlink("https://www.diodes.com/part/view/ZXMN6A09K","ZXMN6A09K")</f>
        <v>ZXMN6A09K</v>
      </c>
      <c r="D2088" t="s">
        <v>26</v>
      </c>
      <c r="E2088" t="s">
        <v>27</v>
      </c>
      <c r="F2088" t="s">
        <v>28</v>
      </c>
      <c r="G2088" t="s">
        <v>29</v>
      </c>
      <c r="H2088" t="s">
        <v>30</v>
      </c>
      <c r="I2088">
        <v>60</v>
      </c>
      <c r="J2088">
        <v>20</v>
      </c>
      <c r="K2088">
        <v>11.8</v>
      </c>
      <c r="M2088">
        <v>2.15</v>
      </c>
      <c r="O2088">
        <v>40</v>
      </c>
      <c r="P2088">
        <v>60</v>
      </c>
      <c r="T2088">
        <v>3</v>
      </c>
      <c r="U2088">
        <v>15</v>
      </c>
      <c r="V2088">
        <v>29</v>
      </c>
      <c r="W2088">
        <v>1426</v>
      </c>
      <c r="Y2088" t="s">
        <v>681</v>
      </c>
    </row>
    <row r="2089" spans="1:25">
      <c r="A2089" t="s">
        <v>3314</v>
      </c>
      <c r="B2089" s="2" t="str">
        <f>Hyperlink("https://www.diodes.com/datasheet/download/ZXMN6A11DN8.pdf")</f>
        <v>https://www.diodes.com/datasheet/download/ZXMN6A11DN8.pdf</v>
      </c>
      <c r="C2089" t="str">
        <f>Hyperlink("https://www.diodes.com/part/view/ZXMN6A11DN8","ZXMN6A11DN8")</f>
        <v>ZXMN6A11DN8</v>
      </c>
      <c r="D2089" t="s">
        <v>39</v>
      </c>
      <c r="E2089" t="s">
        <v>27</v>
      </c>
      <c r="F2089" t="s">
        <v>28</v>
      </c>
      <c r="G2089" t="s">
        <v>40</v>
      </c>
      <c r="H2089" t="s">
        <v>30</v>
      </c>
      <c r="I2089">
        <v>60</v>
      </c>
      <c r="J2089">
        <v>20</v>
      </c>
      <c r="K2089">
        <v>3.2</v>
      </c>
      <c r="M2089">
        <v>1.8</v>
      </c>
      <c r="O2089">
        <v>120</v>
      </c>
      <c r="P2089">
        <v>180</v>
      </c>
      <c r="T2089">
        <v>1</v>
      </c>
      <c r="U2089" t="s">
        <v>3315</v>
      </c>
      <c r="V2089">
        <v>5.7</v>
      </c>
      <c r="W2089" t="s">
        <v>3316</v>
      </c>
      <c r="Y2089" t="s">
        <v>213</v>
      </c>
    </row>
    <row r="2090" spans="1:25">
      <c r="A2090" t="s">
        <v>3317</v>
      </c>
      <c r="B2090" s="2" t="str">
        <f>Hyperlink("https://www.diodes.com/datasheet/download/ZXMN6A11G.pdf")</f>
        <v>https://www.diodes.com/datasheet/download/ZXMN6A11G.pdf</v>
      </c>
      <c r="C2090" t="str">
        <f>Hyperlink("https://www.diodes.com/part/view/ZXMN6A11G","ZXMN6A11G")</f>
        <v>ZXMN6A11G</v>
      </c>
      <c r="D2090" t="s">
        <v>26</v>
      </c>
      <c r="E2090" t="s">
        <v>27</v>
      </c>
      <c r="F2090" t="s">
        <v>28</v>
      </c>
      <c r="G2090" t="s">
        <v>29</v>
      </c>
      <c r="H2090" t="s">
        <v>30</v>
      </c>
      <c r="I2090">
        <v>60</v>
      </c>
      <c r="J2090">
        <v>20</v>
      </c>
      <c r="K2090">
        <v>4.4</v>
      </c>
      <c r="M2090">
        <v>2</v>
      </c>
      <c r="O2090">
        <v>120</v>
      </c>
      <c r="P2090">
        <v>180</v>
      </c>
      <c r="T2090">
        <v>3</v>
      </c>
      <c r="U2090">
        <v>3</v>
      </c>
      <c r="V2090">
        <v>5.7</v>
      </c>
      <c r="W2090" t="s">
        <v>3316</v>
      </c>
      <c r="Y2090" t="s">
        <v>3028</v>
      </c>
    </row>
    <row r="2091" spans="1:25">
      <c r="A2091" t="s">
        <v>3318</v>
      </c>
      <c r="B2091" s="2" t="str">
        <f>Hyperlink("https://www.diodes.com/datasheet/download/ZXMN6A11Z.pdf")</f>
        <v>https://www.diodes.com/datasheet/download/ZXMN6A11Z.pdf</v>
      </c>
      <c r="C2091" t="str">
        <f>Hyperlink("https://www.diodes.com/part/view/ZXMN6A11Z","ZXMN6A11Z")</f>
        <v>ZXMN6A11Z</v>
      </c>
      <c r="D2091" t="s">
        <v>26</v>
      </c>
      <c r="E2091" t="s">
        <v>27</v>
      </c>
      <c r="F2091" t="s">
        <v>28</v>
      </c>
      <c r="G2091" t="s">
        <v>29</v>
      </c>
      <c r="H2091" t="s">
        <v>30</v>
      </c>
      <c r="I2091">
        <v>60</v>
      </c>
      <c r="J2091">
        <v>20</v>
      </c>
      <c r="K2091">
        <v>3.6</v>
      </c>
      <c r="M2091">
        <v>1.5</v>
      </c>
      <c r="O2091">
        <v>120</v>
      </c>
      <c r="P2091">
        <v>180</v>
      </c>
      <c r="T2091">
        <v>2.2</v>
      </c>
      <c r="U2091" t="s">
        <v>3315</v>
      </c>
      <c r="V2091">
        <v>5.7</v>
      </c>
      <c r="W2091" t="s">
        <v>3316</v>
      </c>
      <c r="Y2091" t="s">
        <v>1445</v>
      </c>
    </row>
    <row r="2092" spans="1:25">
      <c r="A2092" t="s">
        <v>3319</v>
      </c>
      <c r="B2092" s="2" t="str">
        <f>Hyperlink("https://www.diodes.com/datasheet/download/ZXMN6A25DN8.pdf")</f>
        <v>https://www.diodes.com/datasheet/download/ZXMN6A25DN8.pdf</v>
      </c>
      <c r="C2092" t="str">
        <f>Hyperlink("https://www.diodes.com/part/view/ZXMN6A25DN8","ZXMN6A25DN8")</f>
        <v>ZXMN6A25DN8</v>
      </c>
      <c r="D2092" t="s">
        <v>39</v>
      </c>
      <c r="E2092" t="s">
        <v>27</v>
      </c>
      <c r="F2092" t="s">
        <v>28</v>
      </c>
      <c r="G2092" t="s">
        <v>40</v>
      </c>
      <c r="H2092" t="s">
        <v>30</v>
      </c>
      <c r="I2092">
        <v>60</v>
      </c>
      <c r="J2092">
        <v>20</v>
      </c>
      <c r="K2092">
        <v>5</v>
      </c>
      <c r="M2092">
        <v>1.8</v>
      </c>
      <c r="O2092">
        <v>50</v>
      </c>
      <c r="P2092">
        <v>70</v>
      </c>
      <c r="T2092">
        <v>1</v>
      </c>
      <c r="U2092" t="s">
        <v>3320</v>
      </c>
      <c r="V2092">
        <v>20.4</v>
      </c>
      <c r="W2092">
        <v>1063</v>
      </c>
      <c r="Y2092" t="s">
        <v>213</v>
      </c>
    </row>
    <row r="2093" spans="1:25">
      <c r="A2093" t="s">
        <v>3321</v>
      </c>
      <c r="B2093" s="2" t="str">
        <f>Hyperlink("https://www.diodes.com/datasheet/download/ZXMN6A25G.pdf")</f>
        <v>https://www.diodes.com/datasheet/download/ZXMN6A25G.pdf</v>
      </c>
      <c r="C2093" t="str">
        <f>Hyperlink("https://www.diodes.com/part/view/ZXMN6A25G","ZXMN6A25G")</f>
        <v>ZXMN6A25G</v>
      </c>
      <c r="D2093" t="s">
        <v>1580</v>
      </c>
      <c r="E2093" t="s">
        <v>27</v>
      </c>
      <c r="F2093" t="s">
        <v>28</v>
      </c>
      <c r="G2093" t="s">
        <v>29</v>
      </c>
      <c r="H2093" t="s">
        <v>30</v>
      </c>
      <c r="I2093">
        <v>60</v>
      </c>
      <c r="J2093">
        <v>20</v>
      </c>
      <c r="K2093">
        <v>6.7</v>
      </c>
      <c r="M2093">
        <v>2</v>
      </c>
      <c r="O2093">
        <v>50</v>
      </c>
      <c r="P2093">
        <v>70</v>
      </c>
      <c r="T2093">
        <v>1</v>
      </c>
      <c r="U2093" t="s">
        <v>3320</v>
      </c>
      <c r="V2093">
        <v>20.4</v>
      </c>
      <c r="W2093">
        <v>1063</v>
      </c>
      <c r="Y2093" t="s">
        <v>3028</v>
      </c>
    </row>
    <row r="2094" spans="1:25">
      <c r="A2094" t="s">
        <v>3322</v>
      </c>
      <c r="B2094" s="2" t="str">
        <f>Hyperlink("https://www.diodes.com/datasheet/download/ZXMN6A25K.pdf")</f>
        <v>https://www.diodes.com/datasheet/download/ZXMN6A25K.pdf</v>
      </c>
      <c r="C2094" t="str">
        <f>Hyperlink("https://www.diodes.com/part/view/ZXMN6A25K","ZXMN6A25K")</f>
        <v>ZXMN6A25K</v>
      </c>
      <c r="D2094" t="s">
        <v>1580</v>
      </c>
      <c r="E2094" t="s">
        <v>27</v>
      </c>
      <c r="F2094" t="s">
        <v>28</v>
      </c>
      <c r="G2094" t="s">
        <v>29</v>
      </c>
      <c r="H2094" t="s">
        <v>30</v>
      </c>
      <c r="I2094">
        <v>60</v>
      </c>
      <c r="J2094">
        <v>20</v>
      </c>
      <c r="K2094">
        <v>10.7</v>
      </c>
      <c r="M2094">
        <v>2.11</v>
      </c>
      <c r="O2094">
        <v>50</v>
      </c>
      <c r="P2094">
        <v>70</v>
      </c>
      <c r="T2094">
        <v>3</v>
      </c>
      <c r="U2094" t="s">
        <v>3320</v>
      </c>
      <c r="V2094">
        <v>20.4</v>
      </c>
      <c r="W2094">
        <v>1063</v>
      </c>
      <c r="Y2094" t="s">
        <v>681</v>
      </c>
    </row>
    <row r="2095" spans="1:25">
      <c r="A2095" t="s">
        <v>3323</v>
      </c>
      <c r="B2095" s="2" t="str">
        <f>Hyperlink("https://www.diodes.com/datasheet/download/ZXMN6A25N8.pdf")</f>
        <v>https://www.diodes.com/datasheet/download/ZXMN6A25N8.pdf</v>
      </c>
      <c r="C2095" t="str">
        <f>Hyperlink("https://www.diodes.com/part/view/ZXMN6A25N8","ZXMN6A25N8")</f>
        <v>ZXMN6A25N8</v>
      </c>
      <c r="D2095" t="s">
        <v>1580</v>
      </c>
      <c r="E2095" t="s">
        <v>27</v>
      </c>
      <c r="F2095" t="s">
        <v>28</v>
      </c>
      <c r="G2095" t="s">
        <v>29</v>
      </c>
      <c r="H2095" t="s">
        <v>30</v>
      </c>
      <c r="I2095">
        <v>60</v>
      </c>
      <c r="J2095">
        <v>20</v>
      </c>
      <c r="K2095">
        <v>5.7</v>
      </c>
      <c r="M2095">
        <v>1.56</v>
      </c>
      <c r="O2095">
        <v>50</v>
      </c>
      <c r="P2095">
        <v>70</v>
      </c>
      <c r="T2095">
        <v>3</v>
      </c>
      <c r="U2095" t="s">
        <v>3320</v>
      </c>
      <c r="V2095">
        <v>20.4</v>
      </c>
      <c r="W2095">
        <v>1063</v>
      </c>
      <c r="Y2095" t="s">
        <v>213</v>
      </c>
    </row>
    <row r="2096" spans="1:25">
      <c r="A2096" t="s">
        <v>3324</v>
      </c>
      <c r="B2096" s="2" t="str">
        <f>Hyperlink("https://www.diodes.com/datasheet/download/ZXMN7A11G.pdf")</f>
        <v>https://www.diodes.com/datasheet/download/ZXMN7A11G.pdf</v>
      </c>
      <c r="C2096" t="str">
        <f>Hyperlink("https://www.diodes.com/part/view/ZXMN7A11G","ZXMN7A11G")</f>
        <v>ZXMN7A11G</v>
      </c>
      <c r="D2096" t="s">
        <v>1019</v>
      </c>
      <c r="E2096" t="s">
        <v>27</v>
      </c>
      <c r="F2096" t="s">
        <v>28</v>
      </c>
      <c r="G2096" t="s">
        <v>29</v>
      </c>
      <c r="H2096" t="s">
        <v>30</v>
      </c>
      <c r="I2096">
        <v>70</v>
      </c>
      <c r="J2096">
        <v>20</v>
      </c>
      <c r="K2096">
        <v>3.8</v>
      </c>
      <c r="M2096">
        <v>2</v>
      </c>
      <c r="O2096">
        <v>130</v>
      </c>
      <c r="P2096">
        <v>190</v>
      </c>
      <c r="T2096">
        <v>1</v>
      </c>
      <c r="U2096" t="s">
        <v>3325</v>
      </c>
      <c r="V2096">
        <v>7.4</v>
      </c>
      <c r="W2096" t="s">
        <v>3326</v>
      </c>
      <c r="Y2096" t="s">
        <v>3028</v>
      </c>
    </row>
    <row r="2097" spans="1:25">
      <c r="A2097" t="s">
        <v>3327</v>
      </c>
      <c r="B2097" s="2" t="str">
        <f>Hyperlink("https://www.diodes.com/datasheet/download/ZXMN7A11GQ.pdf")</f>
        <v>https://www.diodes.com/datasheet/download/ZXMN7A11GQ.pdf</v>
      </c>
      <c r="C2097" t="str">
        <f>Hyperlink("https://www.diodes.com/part/view/ZXMN7A11GQ","ZXMN7A11GQ")</f>
        <v>ZXMN7A11GQ</v>
      </c>
      <c r="D2097" t="s">
        <v>1019</v>
      </c>
      <c r="E2097" t="s">
        <v>27</v>
      </c>
      <c r="F2097" t="s">
        <v>37</v>
      </c>
      <c r="G2097" t="s">
        <v>29</v>
      </c>
      <c r="H2097" t="s">
        <v>30</v>
      </c>
      <c r="I2097">
        <v>70</v>
      </c>
      <c r="J2097">
        <v>20</v>
      </c>
      <c r="K2097">
        <v>3.8</v>
      </c>
      <c r="M2097">
        <v>2</v>
      </c>
      <c r="O2097">
        <v>130</v>
      </c>
      <c r="P2097">
        <v>190</v>
      </c>
      <c r="T2097">
        <v>1</v>
      </c>
      <c r="U2097" t="s">
        <v>3325</v>
      </c>
      <c r="V2097">
        <v>7.4</v>
      </c>
      <c r="W2097">
        <v>298</v>
      </c>
      <c r="X2097">
        <v>50</v>
      </c>
      <c r="Y2097" t="s">
        <v>3028</v>
      </c>
    </row>
    <row r="2098" spans="1:25">
      <c r="A2098" t="s">
        <v>3328</v>
      </c>
      <c r="B2098" s="2" t="str">
        <f>Hyperlink("https://www.diodes.com/datasheet/download/ZXMN7A11K.pdf")</f>
        <v>https://www.diodes.com/datasheet/download/ZXMN7A11K.pdf</v>
      </c>
      <c r="C2098" t="str">
        <f>Hyperlink("https://www.diodes.com/part/view/ZXMN7A11K","ZXMN7A11K")</f>
        <v>ZXMN7A11K</v>
      </c>
      <c r="D2098" t="s">
        <v>1019</v>
      </c>
      <c r="E2098" t="s">
        <v>27</v>
      </c>
      <c r="F2098" t="s">
        <v>28</v>
      </c>
      <c r="G2098" t="s">
        <v>29</v>
      </c>
      <c r="H2098" t="s">
        <v>30</v>
      </c>
      <c r="I2098">
        <v>70</v>
      </c>
      <c r="J2098">
        <v>20</v>
      </c>
      <c r="K2098">
        <v>6.1</v>
      </c>
      <c r="M2098">
        <v>2.11</v>
      </c>
      <c r="O2098">
        <v>130</v>
      </c>
      <c r="P2098">
        <v>190</v>
      </c>
      <c r="T2098">
        <v>1</v>
      </c>
      <c r="U2098" t="s">
        <v>3325</v>
      </c>
      <c r="V2098">
        <v>7.4</v>
      </c>
      <c r="W2098" t="s">
        <v>3326</v>
      </c>
      <c r="Y2098" t="s">
        <v>681</v>
      </c>
    </row>
    <row r="2099" spans="1:25">
      <c r="A2099" t="s">
        <v>3329</v>
      </c>
      <c r="B2099" s="2" t="str">
        <f>Hyperlink("https://www.diodes.com/datasheet/download/ZXMP10A13F.pdf")</f>
        <v>https://www.diodes.com/datasheet/download/ZXMP10A13F.pdf</v>
      </c>
      <c r="C2099" t="str">
        <f>Hyperlink("https://www.diodes.com/part/view/ZXMP10A13F","ZXMP10A13F")</f>
        <v>ZXMP10A13F</v>
      </c>
      <c r="D2099" t="s">
        <v>74</v>
      </c>
      <c r="E2099" t="s">
        <v>27</v>
      </c>
      <c r="F2099" t="s">
        <v>28</v>
      </c>
      <c r="G2099" t="s">
        <v>75</v>
      </c>
      <c r="H2099" t="s">
        <v>30</v>
      </c>
      <c r="I2099">
        <v>100</v>
      </c>
      <c r="J2099">
        <v>20</v>
      </c>
      <c r="K2099">
        <v>0.7</v>
      </c>
      <c r="M2099">
        <v>0.625</v>
      </c>
      <c r="O2099">
        <v>1000</v>
      </c>
      <c r="P2099" t="s">
        <v>3330</v>
      </c>
      <c r="T2099">
        <v>4</v>
      </c>
      <c r="U2099" t="s">
        <v>3331</v>
      </c>
      <c r="V2099">
        <v>3.5</v>
      </c>
      <c r="W2099">
        <v>141</v>
      </c>
      <c r="Y2099" t="s">
        <v>35</v>
      </c>
    </row>
    <row r="2100" spans="1:25">
      <c r="A2100" t="s">
        <v>3332</v>
      </c>
      <c r="B2100" s="2" t="str">
        <f>Hyperlink("https://www.diodes.com/datasheet/download/ZXMP10A13FQ.pdf")</f>
        <v>https://www.diodes.com/datasheet/download/ZXMP10A13FQ.pdf</v>
      </c>
      <c r="C2100" t="str">
        <f>Hyperlink("https://www.diodes.com/part/view/ZXMP10A13FQ","ZXMP10A13FQ")</f>
        <v>ZXMP10A13FQ</v>
      </c>
      <c r="D2100" t="s">
        <v>1677</v>
      </c>
      <c r="E2100" t="s">
        <v>27</v>
      </c>
      <c r="F2100" t="s">
        <v>37</v>
      </c>
      <c r="G2100" t="s">
        <v>75</v>
      </c>
      <c r="H2100" t="s">
        <v>30</v>
      </c>
      <c r="I2100">
        <v>100</v>
      </c>
      <c r="J2100">
        <v>20</v>
      </c>
      <c r="K2100">
        <v>0.7</v>
      </c>
      <c r="M2100">
        <v>0.625</v>
      </c>
      <c r="O2100">
        <v>1000</v>
      </c>
      <c r="P2100" t="s">
        <v>3330</v>
      </c>
      <c r="T2100">
        <v>4</v>
      </c>
      <c r="U2100" t="s">
        <v>3331</v>
      </c>
      <c r="V2100">
        <v>3.5</v>
      </c>
      <c r="Y2100" t="s">
        <v>35</v>
      </c>
    </row>
    <row r="2101" spans="1:25">
      <c r="A2101" t="s">
        <v>3333</v>
      </c>
      <c r="B2101" s="2" t="str">
        <f>Hyperlink("https://www.diodes.com/datasheet/download/ZXMP10A16K.pdf")</f>
        <v>https://www.diodes.com/datasheet/download/ZXMP10A16K.pdf</v>
      </c>
      <c r="C2101" t="str">
        <f>Hyperlink("https://www.diodes.com/part/view/ZXMP10A16K","ZXMP10A16K")</f>
        <v>ZXMP10A16K</v>
      </c>
      <c r="D2101" t="s">
        <v>74</v>
      </c>
      <c r="E2101" t="s">
        <v>27</v>
      </c>
      <c r="F2101" t="s">
        <v>28</v>
      </c>
      <c r="G2101" t="s">
        <v>75</v>
      </c>
      <c r="H2101" t="s">
        <v>30</v>
      </c>
      <c r="I2101">
        <v>100</v>
      </c>
      <c r="J2101">
        <v>20</v>
      </c>
      <c r="K2101">
        <v>4.6</v>
      </c>
      <c r="M2101">
        <v>2.15</v>
      </c>
      <c r="O2101">
        <v>235</v>
      </c>
      <c r="P2101" t="s">
        <v>3334</v>
      </c>
      <c r="T2101">
        <v>4</v>
      </c>
      <c r="V2101">
        <v>16.5</v>
      </c>
      <c r="W2101">
        <v>717</v>
      </c>
      <c r="Y2101" t="s">
        <v>681</v>
      </c>
    </row>
    <row r="2102" spans="1:25">
      <c r="A2102" t="s">
        <v>3335</v>
      </c>
      <c r="B2102" s="2" t="str">
        <f>Hyperlink("https://www.diodes.com/datasheet/download/ZXMP10A17E6.pdf")</f>
        <v>https://www.diodes.com/datasheet/download/ZXMP10A17E6.pdf</v>
      </c>
      <c r="C2102" t="str">
        <f>Hyperlink("https://www.diodes.com/part/view/ZXMP10A17E6","ZXMP10A17E6")</f>
        <v>ZXMP10A17E6</v>
      </c>
      <c r="D2102" t="s">
        <v>74</v>
      </c>
      <c r="E2102" t="s">
        <v>27</v>
      </c>
      <c r="F2102" t="s">
        <v>28</v>
      </c>
      <c r="G2102" t="s">
        <v>75</v>
      </c>
      <c r="H2102" t="s">
        <v>30</v>
      </c>
      <c r="I2102">
        <v>100</v>
      </c>
      <c r="J2102">
        <v>20</v>
      </c>
      <c r="K2102">
        <v>1.6</v>
      </c>
      <c r="M2102">
        <v>1.1</v>
      </c>
      <c r="O2102">
        <v>350</v>
      </c>
      <c r="P2102" t="s">
        <v>3336</v>
      </c>
      <c r="T2102">
        <v>4</v>
      </c>
      <c r="U2102" t="s">
        <v>3337</v>
      </c>
      <c r="V2102">
        <v>10.7</v>
      </c>
      <c r="W2102">
        <v>424</v>
      </c>
      <c r="Y2102" t="s">
        <v>339</v>
      </c>
    </row>
    <row r="2103" spans="1:25">
      <c r="A2103" t="s">
        <v>3338</v>
      </c>
      <c r="B2103" s="2" t="str">
        <f>Hyperlink("https://www.diodes.com/datasheet/download/ZXMP10A17E6Q.pdf")</f>
        <v>https://www.diodes.com/datasheet/download/ZXMP10A17E6Q.pdf</v>
      </c>
      <c r="C2103" t="str">
        <f>Hyperlink("https://www.diodes.com/part/view/ZXMP10A17E6Q","ZXMP10A17E6Q")</f>
        <v>ZXMP10A17E6Q</v>
      </c>
      <c r="D2103" t="s">
        <v>1677</v>
      </c>
      <c r="E2103" t="s">
        <v>27</v>
      </c>
      <c r="F2103" t="s">
        <v>37</v>
      </c>
      <c r="G2103" t="s">
        <v>75</v>
      </c>
      <c r="H2103" t="s">
        <v>30</v>
      </c>
      <c r="I2103">
        <v>100</v>
      </c>
      <c r="J2103">
        <v>20</v>
      </c>
      <c r="K2103">
        <v>1.6</v>
      </c>
      <c r="M2103">
        <v>1.1</v>
      </c>
      <c r="O2103">
        <v>350</v>
      </c>
      <c r="P2103" t="s">
        <v>3336</v>
      </c>
      <c r="T2103">
        <v>4</v>
      </c>
      <c r="U2103" t="s">
        <v>3337</v>
      </c>
      <c r="V2103">
        <v>10.7</v>
      </c>
      <c r="Y2103" t="s">
        <v>339</v>
      </c>
    </row>
    <row r="2104" spans="1:25">
      <c r="A2104" t="s">
        <v>3339</v>
      </c>
      <c r="B2104" s="2" t="str">
        <f>Hyperlink("https://www.diodes.com/datasheet/download/ZXMP10A17G.pdf")</f>
        <v>https://www.diodes.com/datasheet/download/ZXMP10A17G.pdf</v>
      </c>
      <c r="C2104" t="str">
        <f>Hyperlink("https://www.diodes.com/part/view/ZXMP10A17G","ZXMP10A17G")</f>
        <v>ZXMP10A17G</v>
      </c>
      <c r="D2104" t="s">
        <v>74</v>
      </c>
      <c r="E2104" t="s">
        <v>27</v>
      </c>
      <c r="F2104" t="s">
        <v>28</v>
      </c>
      <c r="G2104" t="s">
        <v>75</v>
      </c>
      <c r="H2104" t="s">
        <v>30</v>
      </c>
      <c r="I2104">
        <v>100</v>
      </c>
      <c r="J2104">
        <v>20</v>
      </c>
      <c r="K2104">
        <v>2.4</v>
      </c>
      <c r="M2104">
        <v>2</v>
      </c>
      <c r="O2104">
        <v>350</v>
      </c>
      <c r="P2104" t="s">
        <v>3336</v>
      </c>
      <c r="T2104">
        <v>4</v>
      </c>
      <c r="U2104" t="s">
        <v>3337</v>
      </c>
      <c r="V2104">
        <v>10.7</v>
      </c>
      <c r="W2104">
        <v>424</v>
      </c>
      <c r="Y2104" t="s">
        <v>3028</v>
      </c>
    </row>
    <row r="2105" spans="1:25">
      <c r="A2105" t="s">
        <v>3340</v>
      </c>
      <c r="B2105" s="2" t="str">
        <f>Hyperlink("https://www.diodes.com/datasheet/download/ZXMP10A17GQ.pdf")</f>
        <v>https://www.diodes.com/datasheet/download/ZXMP10A17GQ.pdf</v>
      </c>
      <c r="C2105" t="str">
        <f>Hyperlink("https://www.diodes.com/part/view/ZXMP10A17GQ","ZXMP10A17GQ")</f>
        <v>ZXMP10A17GQ</v>
      </c>
      <c r="D2105" t="s">
        <v>1677</v>
      </c>
      <c r="E2105" t="s">
        <v>27</v>
      </c>
      <c r="F2105" t="s">
        <v>37</v>
      </c>
      <c r="G2105" t="s">
        <v>75</v>
      </c>
      <c r="H2105" t="s">
        <v>30</v>
      </c>
      <c r="I2105">
        <v>100</v>
      </c>
      <c r="J2105">
        <v>20</v>
      </c>
      <c r="K2105">
        <v>2.4</v>
      </c>
      <c r="M2105">
        <v>2</v>
      </c>
      <c r="O2105">
        <v>350</v>
      </c>
      <c r="P2105" t="s">
        <v>3336</v>
      </c>
      <c r="T2105">
        <v>4</v>
      </c>
      <c r="U2105" t="s">
        <v>3337</v>
      </c>
      <c r="V2105">
        <v>10.7</v>
      </c>
      <c r="W2105">
        <v>424</v>
      </c>
      <c r="X2105">
        <v>50</v>
      </c>
      <c r="Y2105" t="s">
        <v>3028</v>
      </c>
    </row>
    <row r="2106" spans="1:25">
      <c r="A2106" t="s">
        <v>3341</v>
      </c>
      <c r="B2106" s="2" t="str">
        <f>Hyperlink("https://www.diodes.com/datasheet/download/ZXMP10A17K.pdf")</f>
        <v>https://www.diodes.com/datasheet/download/ZXMP10A17K.pdf</v>
      </c>
      <c r="C2106" t="str">
        <f>Hyperlink("https://www.diodes.com/part/view/ZXMP10A17K","ZXMP10A17K")</f>
        <v>ZXMP10A17K</v>
      </c>
      <c r="D2106" t="s">
        <v>74</v>
      </c>
      <c r="E2106" t="s">
        <v>27</v>
      </c>
      <c r="F2106" t="s">
        <v>28</v>
      </c>
      <c r="G2106" t="s">
        <v>75</v>
      </c>
      <c r="H2106" t="s">
        <v>30</v>
      </c>
      <c r="I2106">
        <v>100</v>
      </c>
      <c r="J2106">
        <v>20</v>
      </c>
      <c r="K2106">
        <v>3.9</v>
      </c>
      <c r="M2106">
        <v>4</v>
      </c>
      <c r="O2106">
        <v>350</v>
      </c>
      <c r="P2106" t="s">
        <v>3336</v>
      </c>
      <c r="T2106">
        <v>4</v>
      </c>
      <c r="U2106" t="s">
        <v>3337</v>
      </c>
      <c r="V2106">
        <v>10.7</v>
      </c>
      <c r="W2106">
        <v>424</v>
      </c>
      <c r="Y2106" t="s">
        <v>681</v>
      </c>
    </row>
    <row r="2107" spans="1:25">
      <c r="A2107" t="s">
        <v>3342</v>
      </c>
      <c r="B2107" s="2" t="str">
        <f>Hyperlink("https://www.diodes.com/datasheet/download/ZXMP10A18G.pdf")</f>
        <v>https://www.diodes.com/datasheet/download/ZXMP10A18G.pdf</v>
      </c>
      <c r="C2107" t="str">
        <f>Hyperlink("https://www.diodes.com/part/view/ZXMP10A18G","ZXMP10A18G")</f>
        <v>ZXMP10A18G</v>
      </c>
      <c r="D2107" t="s">
        <v>74</v>
      </c>
      <c r="E2107" t="s">
        <v>27</v>
      </c>
      <c r="F2107" t="s">
        <v>28</v>
      </c>
      <c r="G2107" t="s">
        <v>75</v>
      </c>
      <c r="H2107" t="s">
        <v>30</v>
      </c>
      <c r="I2107">
        <v>100</v>
      </c>
      <c r="J2107">
        <v>20</v>
      </c>
      <c r="K2107">
        <v>3.7</v>
      </c>
      <c r="M2107">
        <v>2</v>
      </c>
      <c r="O2107">
        <v>150</v>
      </c>
      <c r="P2107" t="s">
        <v>3343</v>
      </c>
      <c r="T2107">
        <v>4</v>
      </c>
      <c r="V2107">
        <v>26.9</v>
      </c>
      <c r="W2107">
        <v>1055</v>
      </c>
      <c r="Y2107" t="s">
        <v>3028</v>
      </c>
    </row>
    <row r="2108" spans="1:25">
      <c r="A2108" t="s">
        <v>3344</v>
      </c>
      <c r="B2108" s="2" t="str">
        <f>Hyperlink("https://www.diodes.com/datasheet/download/ZXMP10A18K.pdf")</f>
        <v>https://www.diodes.com/datasheet/download/ZXMP10A18K.pdf</v>
      </c>
      <c r="C2108" t="str">
        <f>Hyperlink("https://www.diodes.com/part/view/ZXMP10A18K","ZXMP10A18K")</f>
        <v>ZXMP10A18K</v>
      </c>
      <c r="D2108" t="s">
        <v>74</v>
      </c>
      <c r="E2108" t="s">
        <v>27</v>
      </c>
      <c r="F2108" t="s">
        <v>28</v>
      </c>
      <c r="G2108" t="s">
        <v>75</v>
      </c>
      <c r="H2108" t="s">
        <v>30</v>
      </c>
      <c r="I2108">
        <v>100</v>
      </c>
      <c r="J2108">
        <v>20</v>
      </c>
      <c r="K2108">
        <v>5.9</v>
      </c>
      <c r="M2108">
        <v>2.17</v>
      </c>
      <c r="O2108">
        <v>150</v>
      </c>
      <c r="P2108" t="s">
        <v>3343</v>
      </c>
      <c r="T2108">
        <v>4</v>
      </c>
      <c r="V2108">
        <v>26.9</v>
      </c>
      <c r="W2108">
        <v>1055</v>
      </c>
      <c r="Y2108" t="s">
        <v>681</v>
      </c>
    </row>
    <row r="2109" spans="1:25">
      <c r="A2109" t="s">
        <v>3345</v>
      </c>
      <c r="B2109" s="2" t="str">
        <f>Hyperlink("https://www.diodes.com/datasheet/download/ZXMP10A18KQ.pdf")</f>
        <v>https://www.diodes.com/datasheet/download/ZXMP10A18KQ.pdf</v>
      </c>
      <c r="C2109" t="str">
        <f>Hyperlink("https://www.diodes.com/part/view/ZXMP10A18KQ","ZXMP10A18KQ")</f>
        <v>ZXMP10A18KQ</v>
      </c>
      <c r="D2109" t="s">
        <v>1645</v>
      </c>
      <c r="E2109" t="s">
        <v>27</v>
      </c>
      <c r="F2109" t="s">
        <v>37</v>
      </c>
      <c r="G2109" t="s">
        <v>75</v>
      </c>
      <c r="H2109" t="s">
        <v>30</v>
      </c>
      <c r="I2109">
        <v>100</v>
      </c>
      <c r="J2109">
        <v>20</v>
      </c>
      <c r="L2109">
        <v>15</v>
      </c>
      <c r="M2109">
        <v>3.3</v>
      </c>
      <c r="N2109">
        <v>71</v>
      </c>
      <c r="O2109">
        <v>150</v>
      </c>
      <c r="P2109" t="s">
        <v>3346</v>
      </c>
      <c r="S2109">
        <v>2</v>
      </c>
      <c r="T2109">
        <v>4</v>
      </c>
      <c r="V2109">
        <v>26.9</v>
      </c>
      <c r="W2109">
        <v>1055</v>
      </c>
      <c r="X2109">
        <v>50</v>
      </c>
      <c r="Y2109" t="s">
        <v>681</v>
      </c>
    </row>
    <row r="2110" spans="1:25">
      <c r="A2110" t="s">
        <v>3347</v>
      </c>
      <c r="B2110" s="2" t="str">
        <f>Hyperlink("https://www.diodes.com/datasheet/download/ZXMP2120FF.pdf")</f>
        <v>https://www.diodes.com/datasheet/download/ZXMP2120FF.pdf</v>
      </c>
      <c r="C2110" t="str">
        <f>Hyperlink("https://www.diodes.com/part/view/ZXMP2120FF","ZXMP2120FF")</f>
        <v>ZXMP2120FF</v>
      </c>
      <c r="D2110" t="s">
        <v>74</v>
      </c>
      <c r="E2110" t="s">
        <v>27</v>
      </c>
      <c r="F2110" t="s">
        <v>28</v>
      </c>
      <c r="G2110" t="s">
        <v>75</v>
      </c>
      <c r="H2110" t="s">
        <v>30</v>
      </c>
      <c r="I2110">
        <v>200</v>
      </c>
      <c r="J2110">
        <v>20</v>
      </c>
      <c r="K2110">
        <v>0.137</v>
      </c>
      <c r="M2110">
        <v>1</v>
      </c>
      <c r="O2110">
        <v>28000</v>
      </c>
      <c r="T2110">
        <v>3.5</v>
      </c>
      <c r="W2110" t="s">
        <v>3052</v>
      </c>
      <c r="Y2110" t="s">
        <v>3348</v>
      </c>
    </row>
    <row r="2111" spans="1:25">
      <c r="A2111" t="s">
        <v>3349</v>
      </c>
      <c r="B2111" s="2" t="str">
        <f>Hyperlink("https://www.diodes.com/datasheet/download/ZXMP3A13F.pdf")</f>
        <v>https://www.diodes.com/datasheet/download/ZXMP3A13F.pdf</v>
      </c>
      <c r="C2111" t="str">
        <f>Hyperlink("https://www.diodes.com/part/view/ZXMP3A13F","ZXMP3A13F")</f>
        <v>ZXMP3A13F</v>
      </c>
      <c r="D2111" t="s">
        <v>74</v>
      </c>
      <c r="E2111" t="s">
        <v>27</v>
      </c>
      <c r="F2111" t="s">
        <v>28</v>
      </c>
      <c r="G2111" t="s">
        <v>75</v>
      </c>
      <c r="H2111" t="s">
        <v>30</v>
      </c>
      <c r="I2111">
        <v>30</v>
      </c>
      <c r="J2111">
        <v>20</v>
      </c>
      <c r="K2111">
        <v>1.6</v>
      </c>
      <c r="M2111">
        <v>0.625</v>
      </c>
      <c r="O2111">
        <v>210</v>
      </c>
      <c r="P2111">
        <v>330</v>
      </c>
      <c r="T2111">
        <v>1</v>
      </c>
      <c r="U2111" t="s">
        <v>3350</v>
      </c>
      <c r="V2111">
        <v>6.4</v>
      </c>
      <c r="W2111">
        <v>206</v>
      </c>
      <c r="Y2111" t="s">
        <v>35</v>
      </c>
    </row>
    <row r="2112" spans="1:25">
      <c r="A2112" t="s">
        <v>3351</v>
      </c>
      <c r="B2112" s="2" t="str">
        <f>Hyperlink("https://www.diodes.com/datasheet/download/ZXMP3A16DN8.pdf")</f>
        <v>https://www.diodes.com/datasheet/download/ZXMP3A16DN8.pdf</v>
      </c>
      <c r="C2112" t="str">
        <f>Hyperlink("https://www.diodes.com/part/view/ZXMP3A16DN8","ZXMP3A16DN8")</f>
        <v>ZXMP3A16DN8</v>
      </c>
      <c r="D2112" t="s">
        <v>123</v>
      </c>
      <c r="E2112" t="s">
        <v>27</v>
      </c>
      <c r="F2112" t="s">
        <v>28</v>
      </c>
      <c r="G2112" t="s">
        <v>124</v>
      </c>
      <c r="H2112" t="s">
        <v>30</v>
      </c>
      <c r="I2112">
        <v>30</v>
      </c>
      <c r="J2112">
        <v>20</v>
      </c>
      <c r="K2112">
        <v>5.5</v>
      </c>
      <c r="M2112">
        <v>1.8</v>
      </c>
      <c r="O2112">
        <v>45</v>
      </c>
      <c r="P2112">
        <v>70</v>
      </c>
      <c r="T2112">
        <v>1</v>
      </c>
      <c r="U2112" t="s">
        <v>3236</v>
      </c>
      <c r="V2112">
        <v>29.6</v>
      </c>
      <c r="Y2112" t="s">
        <v>213</v>
      </c>
    </row>
    <row r="2113" spans="1:25">
      <c r="A2113" t="s">
        <v>3352</v>
      </c>
      <c r="B2113" s="2" t="str">
        <f>Hyperlink("https://www.diodes.com/datasheet/download/ZXMP3A16G.pdf")</f>
        <v>https://www.diodes.com/datasheet/download/ZXMP3A16G.pdf</v>
      </c>
      <c r="C2113" t="str">
        <f>Hyperlink("https://www.diodes.com/part/view/ZXMP3A16G","ZXMP3A16G")</f>
        <v>ZXMP3A16G</v>
      </c>
      <c r="D2113" t="s">
        <v>74</v>
      </c>
      <c r="E2113" t="s">
        <v>27</v>
      </c>
      <c r="F2113" t="s">
        <v>28</v>
      </c>
      <c r="G2113" t="s">
        <v>75</v>
      </c>
      <c r="H2113" t="s">
        <v>30</v>
      </c>
      <c r="I2113">
        <v>30</v>
      </c>
      <c r="J2113">
        <v>20</v>
      </c>
      <c r="K2113">
        <v>7.5</v>
      </c>
      <c r="M2113">
        <v>2</v>
      </c>
      <c r="O2113">
        <v>45</v>
      </c>
      <c r="P2113">
        <v>70</v>
      </c>
      <c r="T2113">
        <v>1</v>
      </c>
      <c r="U2113" t="s">
        <v>3236</v>
      </c>
      <c r="V2113">
        <v>29.6</v>
      </c>
      <c r="W2113">
        <v>1022</v>
      </c>
      <c r="Y2113" t="s">
        <v>820</v>
      </c>
    </row>
    <row r="2114" spans="1:25">
      <c r="A2114" t="s">
        <v>3353</v>
      </c>
      <c r="B2114" s="2" t="str">
        <f>Hyperlink("https://www.diodes.com/datasheet/download/ZXMP3A16N8.pdf")</f>
        <v>https://www.diodes.com/datasheet/download/ZXMP3A16N8.pdf</v>
      </c>
      <c r="C2114" t="str">
        <f>Hyperlink("https://www.diodes.com/part/view/ZXMP3A16N8","ZXMP3A16N8")</f>
        <v>ZXMP3A16N8</v>
      </c>
      <c r="D2114" t="s">
        <v>74</v>
      </c>
      <c r="E2114" t="s">
        <v>27</v>
      </c>
      <c r="F2114" t="s">
        <v>28</v>
      </c>
      <c r="G2114" t="s">
        <v>75</v>
      </c>
      <c r="H2114" t="s">
        <v>30</v>
      </c>
      <c r="I2114">
        <v>30</v>
      </c>
      <c r="J2114">
        <v>20</v>
      </c>
      <c r="K2114">
        <v>6.7</v>
      </c>
      <c r="M2114">
        <v>1.9</v>
      </c>
      <c r="O2114">
        <v>40</v>
      </c>
      <c r="P2114">
        <v>70</v>
      </c>
      <c r="T2114">
        <v>1</v>
      </c>
      <c r="U2114" t="s">
        <v>3236</v>
      </c>
      <c r="V2114">
        <v>29.6</v>
      </c>
      <c r="Y2114" t="s">
        <v>213</v>
      </c>
    </row>
    <row r="2115" spans="1:25">
      <c r="A2115" t="s">
        <v>3354</v>
      </c>
      <c r="B2115" s="2" t="str">
        <f>Hyperlink("https://www.diodes.com/datasheet/download/ZXMP3A17DN8.pdf")</f>
        <v>https://www.diodes.com/datasheet/download/ZXMP3A17DN8.pdf</v>
      </c>
      <c r="C2115" t="str">
        <f>Hyperlink("https://www.diodes.com/part/view/ZXMP3A17DN8","ZXMP3A17DN8")</f>
        <v>ZXMP3A17DN8</v>
      </c>
      <c r="D2115" t="s">
        <v>123</v>
      </c>
      <c r="E2115" t="s">
        <v>27</v>
      </c>
      <c r="F2115" t="s">
        <v>28</v>
      </c>
      <c r="G2115" t="s">
        <v>124</v>
      </c>
      <c r="H2115" t="s">
        <v>30</v>
      </c>
      <c r="I2115">
        <v>30</v>
      </c>
      <c r="J2115">
        <v>20</v>
      </c>
      <c r="K2115">
        <v>4.4</v>
      </c>
      <c r="M2115">
        <v>1.8</v>
      </c>
      <c r="O2115">
        <v>70</v>
      </c>
      <c r="P2115">
        <v>110</v>
      </c>
      <c r="T2115">
        <v>1</v>
      </c>
      <c r="U2115" t="s">
        <v>3355</v>
      </c>
      <c r="V2115">
        <v>15.8</v>
      </c>
      <c r="Y2115" t="s">
        <v>213</v>
      </c>
    </row>
    <row r="2116" spans="1:25">
      <c r="A2116" t="s">
        <v>3356</v>
      </c>
      <c r="B2116" s="2" t="str">
        <f>Hyperlink("https://www.diodes.com/datasheet/download/ZXMP3A17E6.pdf")</f>
        <v>https://www.diodes.com/datasheet/download/ZXMP3A17E6.pdf</v>
      </c>
      <c r="C2116" t="str">
        <f>Hyperlink("https://www.diodes.com/part/view/ZXMP3A17E6","ZXMP3A17E6")</f>
        <v>ZXMP3A17E6</v>
      </c>
      <c r="D2116" t="s">
        <v>74</v>
      </c>
      <c r="E2116" t="s">
        <v>27</v>
      </c>
      <c r="F2116" t="s">
        <v>28</v>
      </c>
      <c r="G2116" t="s">
        <v>75</v>
      </c>
      <c r="H2116" t="s">
        <v>30</v>
      </c>
      <c r="I2116">
        <v>30</v>
      </c>
      <c r="J2116">
        <v>20</v>
      </c>
      <c r="K2116">
        <v>4</v>
      </c>
      <c r="M2116">
        <v>1.1</v>
      </c>
      <c r="O2116">
        <v>70</v>
      </c>
      <c r="P2116">
        <v>110</v>
      </c>
      <c r="T2116">
        <v>1</v>
      </c>
      <c r="U2116" t="s">
        <v>3355</v>
      </c>
      <c r="V2116">
        <v>15.8</v>
      </c>
      <c r="W2116">
        <v>630</v>
      </c>
      <c r="Y2116" t="s">
        <v>339</v>
      </c>
    </row>
    <row r="2117" spans="1:25">
      <c r="A2117" t="s">
        <v>3357</v>
      </c>
      <c r="B2117" s="2" t="str">
        <f>Hyperlink("https://www.diodes.com/datasheet/download/ZXMP3F30FH.pdf")</f>
        <v>https://www.diodes.com/datasheet/download/ZXMP3F30FH.pdf</v>
      </c>
      <c r="C2117" t="str">
        <f>Hyperlink("https://www.diodes.com/part/view/ZXMP3F30FH","ZXMP3F30FH")</f>
        <v>ZXMP3F30FH</v>
      </c>
      <c r="D2117" t="s">
        <v>74</v>
      </c>
      <c r="E2117" t="s">
        <v>27</v>
      </c>
      <c r="F2117" t="s">
        <v>28</v>
      </c>
      <c r="G2117" t="s">
        <v>75</v>
      </c>
      <c r="H2117" t="s">
        <v>30</v>
      </c>
      <c r="I2117">
        <v>30</v>
      </c>
      <c r="J2117">
        <v>20</v>
      </c>
      <c r="K2117">
        <v>3.4</v>
      </c>
      <c r="M2117">
        <v>0.95</v>
      </c>
      <c r="O2117">
        <v>80</v>
      </c>
      <c r="P2117">
        <v>140</v>
      </c>
      <c r="T2117">
        <v>3</v>
      </c>
      <c r="V2117">
        <v>7</v>
      </c>
      <c r="W2117">
        <v>370</v>
      </c>
      <c r="Y2117" t="s">
        <v>35</v>
      </c>
    </row>
    <row r="2118" spans="1:25">
      <c r="A2118" t="s">
        <v>3358</v>
      </c>
      <c r="B2118" s="2" t="str">
        <f>Hyperlink("https://www.diodes.com/datasheet/download/ZXMP4A16G.pdf")</f>
        <v>https://www.diodes.com/datasheet/download/ZXMP4A16G.pdf</v>
      </c>
      <c r="C2118" t="str">
        <f>Hyperlink("https://www.diodes.com/part/view/ZXMP4A16G","ZXMP4A16G")</f>
        <v>ZXMP4A16G</v>
      </c>
      <c r="D2118" t="s">
        <v>74</v>
      </c>
      <c r="E2118" t="s">
        <v>27</v>
      </c>
      <c r="F2118" t="s">
        <v>28</v>
      </c>
      <c r="G2118" t="s">
        <v>75</v>
      </c>
      <c r="H2118" t="s">
        <v>30</v>
      </c>
      <c r="I2118">
        <v>40</v>
      </c>
      <c r="J2118">
        <v>20</v>
      </c>
      <c r="K2118">
        <v>6.4</v>
      </c>
      <c r="M2118">
        <v>2</v>
      </c>
      <c r="O2118">
        <v>60</v>
      </c>
      <c r="P2118">
        <v>100</v>
      </c>
      <c r="T2118">
        <v>1</v>
      </c>
      <c r="U2118" t="s">
        <v>3359</v>
      </c>
      <c r="V2118">
        <v>26.1</v>
      </c>
      <c r="W2118">
        <v>1007</v>
      </c>
      <c r="Y2118" t="s">
        <v>3028</v>
      </c>
    </row>
    <row r="2119" spans="1:25">
      <c r="A2119" t="s">
        <v>3360</v>
      </c>
      <c r="B2119" s="2" t="str">
        <f>Hyperlink("https://www.diodes.com/datasheet/download/ZXMP4A16GQ.pdf")</f>
        <v>https://www.diodes.com/datasheet/download/ZXMP4A16GQ.pdf</v>
      </c>
      <c r="C2119" t="str">
        <f>Hyperlink("https://www.diodes.com/part/view/ZXMP4A16GQ","ZXMP4A16GQ")</f>
        <v>ZXMP4A16GQ</v>
      </c>
      <c r="D2119" t="s">
        <v>2035</v>
      </c>
      <c r="E2119" t="s">
        <v>27</v>
      </c>
      <c r="F2119" t="s">
        <v>37</v>
      </c>
      <c r="G2119" t="s">
        <v>75</v>
      </c>
      <c r="H2119" t="s">
        <v>30</v>
      </c>
      <c r="I2119">
        <v>40</v>
      </c>
      <c r="J2119">
        <v>20</v>
      </c>
      <c r="K2119">
        <v>6.4</v>
      </c>
      <c r="M2119">
        <v>2</v>
      </c>
      <c r="O2119">
        <v>60</v>
      </c>
      <c r="P2119">
        <v>100</v>
      </c>
      <c r="T2119">
        <v>1</v>
      </c>
      <c r="U2119" t="s">
        <v>3359</v>
      </c>
      <c r="V2119">
        <v>26.1</v>
      </c>
      <c r="W2119">
        <v>1007</v>
      </c>
      <c r="Y2119" t="s">
        <v>3028</v>
      </c>
    </row>
    <row r="2120" spans="1:25">
      <c r="A2120" t="s">
        <v>3361</v>
      </c>
      <c r="B2120" s="2" t="str">
        <f>Hyperlink("https://www.diodes.com/datasheet/download/ZXMP4A16K.pdf")</f>
        <v>https://www.diodes.com/datasheet/download/ZXMP4A16K.pdf</v>
      </c>
      <c r="C2120" t="str">
        <f>Hyperlink("https://www.diodes.com/part/view/ZXMP4A16K","ZXMP4A16K")</f>
        <v>ZXMP4A16K</v>
      </c>
      <c r="D2120" t="s">
        <v>74</v>
      </c>
      <c r="E2120" t="s">
        <v>27</v>
      </c>
      <c r="F2120" t="s">
        <v>28</v>
      </c>
      <c r="G2120" t="s">
        <v>75</v>
      </c>
      <c r="H2120" t="s">
        <v>30</v>
      </c>
      <c r="I2120">
        <v>40</v>
      </c>
      <c r="J2120">
        <v>20</v>
      </c>
      <c r="K2120">
        <v>9.9</v>
      </c>
      <c r="M2120">
        <v>4.2</v>
      </c>
      <c r="O2120">
        <v>60</v>
      </c>
      <c r="P2120">
        <v>100</v>
      </c>
      <c r="T2120">
        <v>1</v>
      </c>
      <c r="U2120" t="s">
        <v>3362</v>
      </c>
      <c r="V2120">
        <v>29.6</v>
      </c>
      <c r="W2120">
        <v>965</v>
      </c>
      <c r="Y2120" t="s">
        <v>681</v>
      </c>
    </row>
    <row r="2121" spans="1:25">
      <c r="A2121" t="s">
        <v>3363</v>
      </c>
      <c r="B2121" s="2" t="str">
        <f>Hyperlink("https://www.diodes.com/datasheet/download/ZXMP4A57E6.pdf")</f>
        <v>https://www.diodes.com/datasheet/download/ZXMP4A57E6.pdf</v>
      </c>
      <c r="C2121" t="str">
        <f>Hyperlink("https://www.diodes.com/part/view/ZXMP4A57E6","ZXMP4A57E6")</f>
        <v>ZXMP4A57E6</v>
      </c>
      <c r="D2121" t="s">
        <v>74</v>
      </c>
      <c r="E2121" t="s">
        <v>27</v>
      </c>
      <c r="F2121" t="s">
        <v>28</v>
      </c>
      <c r="G2121" t="s">
        <v>75</v>
      </c>
      <c r="H2121" t="s">
        <v>30</v>
      </c>
      <c r="I2121">
        <v>40</v>
      </c>
      <c r="J2121">
        <v>20</v>
      </c>
      <c r="K2121">
        <v>3.7</v>
      </c>
      <c r="M2121">
        <v>1.1</v>
      </c>
      <c r="O2121">
        <v>80</v>
      </c>
      <c r="P2121">
        <v>150</v>
      </c>
      <c r="T2121">
        <v>3</v>
      </c>
      <c r="U2121">
        <v>7</v>
      </c>
      <c r="V2121">
        <v>15.8</v>
      </c>
      <c r="W2121">
        <v>833</v>
      </c>
      <c r="Y2121" t="s">
        <v>339</v>
      </c>
    </row>
    <row r="2122" spans="1:25">
      <c r="A2122" t="s">
        <v>3364</v>
      </c>
      <c r="B2122" s="2" t="str">
        <f>Hyperlink("https://www.diodes.com/datasheet/download/ZXMP6A13F.pdf")</f>
        <v>https://www.diodes.com/datasheet/download/ZXMP6A13F.pdf</v>
      </c>
      <c r="C2122" t="str">
        <f>Hyperlink("https://www.diodes.com/part/view/ZXMP6A13F","ZXMP6A13F")</f>
        <v>ZXMP6A13F</v>
      </c>
      <c r="D2122" t="s">
        <v>74</v>
      </c>
      <c r="E2122" t="s">
        <v>27</v>
      </c>
      <c r="F2122" t="s">
        <v>28</v>
      </c>
      <c r="G2122" t="s">
        <v>75</v>
      </c>
      <c r="H2122" t="s">
        <v>30</v>
      </c>
      <c r="I2122">
        <v>60</v>
      </c>
      <c r="J2122">
        <v>20</v>
      </c>
      <c r="K2122">
        <v>1.1</v>
      </c>
      <c r="M2122">
        <v>0.625</v>
      </c>
      <c r="O2122">
        <v>400</v>
      </c>
      <c r="P2122">
        <v>600</v>
      </c>
      <c r="T2122">
        <v>3</v>
      </c>
      <c r="U2122">
        <v>2.9</v>
      </c>
      <c r="V2122">
        <v>5.9</v>
      </c>
      <c r="W2122">
        <v>219</v>
      </c>
      <c r="Y2122" t="s">
        <v>35</v>
      </c>
    </row>
    <row r="2123" spans="1:25">
      <c r="A2123" t="s">
        <v>3365</v>
      </c>
      <c r="B2123" s="2" t="str">
        <f>Hyperlink("https://www.diodes.com/datasheet/download/ZXMP6A13FQ.pdf")</f>
        <v>https://www.diodes.com/datasheet/download/ZXMP6A13FQ.pdf</v>
      </c>
      <c r="C2123" t="str">
        <f>Hyperlink("https://www.diodes.com/part/view/ZXMP6A13FQ","ZXMP6A13FQ")</f>
        <v>ZXMP6A13FQ</v>
      </c>
      <c r="D2123" t="s">
        <v>2123</v>
      </c>
      <c r="E2123" t="s">
        <v>27</v>
      </c>
      <c r="F2123" t="s">
        <v>37</v>
      </c>
      <c r="G2123" t="s">
        <v>75</v>
      </c>
      <c r="H2123" t="s">
        <v>30</v>
      </c>
      <c r="I2123">
        <v>60</v>
      </c>
      <c r="J2123">
        <v>20</v>
      </c>
      <c r="K2123">
        <v>1.1</v>
      </c>
      <c r="M2123">
        <v>0.625</v>
      </c>
      <c r="O2123">
        <v>400</v>
      </c>
      <c r="P2123">
        <v>600</v>
      </c>
      <c r="T2123">
        <v>3</v>
      </c>
      <c r="U2123">
        <v>2.9</v>
      </c>
      <c r="V2123">
        <v>5.9</v>
      </c>
      <c r="Y2123" t="s">
        <v>35</v>
      </c>
    </row>
    <row r="2124" spans="1:25">
      <c r="A2124" t="s">
        <v>3366</v>
      </c>
      <c r="B2124" s="2" t="str">
        <f>Hyperlink("https://www.diodes.com/datasheet/download/ZXMP6A13G.pdf")</f>
        <v>https://www.diodes.com/datasheet/download/ZXMP6A13G.pdf</v>
      </c>
      <c r="C2124" t="str">
        <f>Hyperlink("https://www.diodes.com/part/view/ZXMP6A13G","ZXMP6A13G")</f>
        <v>ZXMP6A13G</v>
      </c>
      <c r="D2124" t="s">
        <v>74</v>
      </c>
      <c r="E2124" t="s">
        <v>27</v>
      </c>
      <c r="F2124" t="s">
        <v>28</v>
      </c>
      <c r="G2124" t="s">
        <v>75</v>
      </c>
      <c r="H2124" t="s">
        <v>30</v>
      </c>
      <c r="I2124">
        <v>60</v>
      </c>
      <c r="J2124">
        <v>20</v>
      </c>
      <c r="K2124">
        <v>2.3</v>
      </c>
      <c r="M2124">
        <v>2</v>
      </c>
      <c r="O2124">
        <v>390</v>
      </c>
      <c r="P2124">
        <v>595</v>
      </c>
      <c r="T2124">
        <v>3</v>
      </c>
      <c r="U2124">
        <v>2.9</v>
      </c>
      <c r="V2124">
        <v>5.9</v>
      </c>
      <c r="W2124">
        <v>219</v>
      </c>
      <c r="Y2124" t="s">
        <v>3028</v>
      </c>
    </row>
    <row r="2125" spans="1:25">
      <c r="A2125" t="s">
        <v>3367</v>
      </c>
      <c r="B2125" s="2" t="str">
        <f>Hyperlink("https://www.diodes.com/datasheet/download/ZXMP6A16DN8.pdf")</f>
        <v>https://www.diodes.com/datasheet/download/ZXMP6A16DN8.pdf</v>
      </c>
      <c r="C2125" t="str">
        <f>Hyperlink("https://www.diodes.com/part/view/ZXMP6A16DN8","ZXMP6A16DN8")</f>
        <v>ZXMP6A16DN8</v>
      </c>
      <c r="D2125" t="s">
        <v>123</v>
      </c>
      <c r="E2125" t="s">
        <v>27</v>
      </c>
      <c r="F2125" t="s">
        <v>28</v>
      </c>
      <c r="G2125" t="s">
        <v>124</v>
      </c>
      <c r="H2125" t="s">
        <v>30</v>
      </c>
      <c r="I2125">
        <v>60</v>
      </c>
      <c r="J2125">
        <v>20</v>
      </c>
      <c r="K2125">
        <v>3.9</v>
      </c>
      <c r="M2125">
        <v>1.81</v>
      </c>
      <c r="O2125">
        <v>85</v>
      </c>
      <c r="P2125">
        <v>125</v>
      </c>
      <c r="T2125">
        <v>1</v>
      </c>
      <c r="U2125" t="s">
        <v>3368</v>
      </c>
      <c r="V2125">
        <v>24.2</v>
      </c>
      <c r="W2125">
        <v>1021</v>
      </c>
      <c r="X2125">
        <v>30</v>
      </c>
      <c r="Y2125" t="s">
        <v>213</v>
      </c>
    </row>
    <row r="2126" spans="1:25">
      <c r="A2126" t="s">
        <v>3369</v>
      </c>
      <c r="B2126" s="2" t="str">
        <f>Hyperlink("https://www.diodes.com/datasheet/download/ZXMP6A16DN8Q.pdf")</f>
        <v>https://www.diodes.com/datasheet/download/ZXMP6A16DN8Q.pdf</v>
      </c>
      <c r="C2126" t="str">
        <f>Hyperlink("https://www.diodes.com/part/view/ZXMP6A16DN8Q","ZXMP6A16DN8Q")</f>
        <v>ZXMP6A16DN8Q</v>
      </c>
      <c r="D2126" t="s">
        <v>3370</v>
      </c>
      <c r="E2126" t="s">
        <v>27</v>
      </c>
      <c r="F2126" t="s">
        <v>37</v>
      </c>
      <c r="G2126" t="s">
        <v>124</v>
      </c>
      <c r="H2126" t="s">
        <v>30</v>
      </c>
      <c r="I2126">
        <v>60</v>
      </c>
      <c r="J2126">
        <v>20</v>
      </c>
      <c r="K2126">
        <v>3.9</v>
      </c>
      <c r="M2126">
        <v>1.81</v>
      </c>
      <c r="O2126">
        <v>85</v>
      </c>
      <c r="P2126">
        <v>125</v>
      </c>
      <c r="T2126">
        <v>1</v>
      </c>
      <c r="U2126" t="s">
        <v>3368</v>
      </c>
      <c r="V2126">
        <v>24.2</v>
      </c>
      <c r="X2126">
        <v>30</v>
      </c>
      <c r="Y2126" t="s">
        <v>213</v>
      </c>
    </row>
    <row r="2127" spans="1:25">
      <c r="A2127" t="s">
        <v>3371</v>
      </c>
      <c r="B2127" s="2" t="str">
        <f>Hyperlink("https://www.diodes.com/datasheet/download/ZXMP6A16K.pdf")</f>
        <v>https://www.diodes.com/datasheet/download/ZXMP6A16K.pdf</v>
      </c>
      <c r="C2127" t="str">
        <f>Hyperlink("https://www.diodes.com/part/view/ZXMP6A16K","ZXMP6A16K")</f>
        <v>ZXMP6A16K</v>
      </c>
      <c r="D2127" t="s">
        <v>74</v>
      </c>
      <c r="E2127" t="s">
        <v>27</v>
      </c>
      <c r="F2127" t="s">
        <v>28</v>
      </c>
      <c r="G2127" t="s">
        <v>75</v>
      </c>
      <c r="H2127" t="s">
        <v>30</v>
      </c>
      <c r="I2127">
        <v>60</v>
      </c>
      <c r="J2127">
        <v>20</v>
      </c>
      <c r="K2127">
        <v>8.2</v>
      </c>
      <c r="M2127">
        <v>2.11</v>
      </c>
      <c r="O2127">
        <v>85</v>
      </c>
      <c r="P2127">
        <v>125</v>
      </c>
      <c r="T2127">
        <v>1</v>
      </c>
      <c r="U2127" t="s">
        <v>3368</v>
      </c>
      <c r="V2127">
        <v>24.2</v>
      </c>
      <c r="W2127">
        <v>1021</v>
      </c>
      <c r="Y2127" t="s">
        <v>681</v>
      </c>
    </row>
    <row r="2128" spans="1:25">
      <c r="A2128" t="s">
        <v>3372</v>
      </c>
      <c r="B2128" s="2" t="str">
        <f>Hyperlink("https://www.diodes.com/datasheet/download/ZXMP6A17DN8.pdf")</f>
        <v>https://www.diodes.com/datasheet/download/ZXMP6A17DN8.pdf</v>
      </c>
      <c r="C2128" t="str">
        <f>Hyperlink("https://www.diodes.com/part/view/ZXMP6A17DN8","ZXMP6A17DN8")</f>
        <v>ZXMP6A17DN8</v>
      </c>
      <c r="D2128" t="s">
        <v>123</v>
      </c>
      <c r="E2128" t="s">
        <v>27</v>
      </c>
      <c r="F2128" t="s">
        <v>28</v>
      </c>
      <c r="G2128" t="s">
        <v>124</v>
      </c>
      <c r="H2128" t="s">
        <v>30</v>
      </c>
      <c r="I2128">
        <v>60</v>
      </c>
      <c r="J2128">
        <v>20</v>
      </c>
      <c r="K2128">
        <v>3.4</v>
      </c>
      <c r="M2128">
        <v>1.81</v>
      </c>
      <c r="O2128">
        <v>125</v>
      </c>
      <c r="P2128">
        <v>190</v>
      </c>
      <c r="T2128">
        <v>1</v>
      </c>
      <c r="U2128">
        <v>9</v>
      </c>
      <c r="V2128">
        <v>17.7</v>
      </c>
      <c r="W2128">
        <v>637</v>
      </c>
      <c r="Y2128" t="s">
        <v>213</v>
      </c>
    </row>
    <row r="2129" spans="1:25">
      <c r="A2129" t="s">
        <v>3373</v>
      </c>
      <c r="B2129" s="2" t="str">
        <f>Hyperlink("https://www.diodes.com/datasheet/download/ZXMP6A17E6.pdf")</f>
        <v>https://www.diodes.com/datasheet/download/ZXMP6A17E6.pdf</v>
      </c>
      <c r="C2129" t="str">
        <f>Hyperlink("https://www.diodes.com/part/view/ZXMP6A17E6","ZXMP6A17E6")</f>
        <v>ZXMP6A17E6</v>
      </c>
      <c r="D2129" t="s">
        <v>74</v>
      </c>
      <c r="E2129" t="s">
        <v>27</v>
      </c>
      <c r="F2129" t="s">
        <v>28</v>
      </c>
      <c r="G2129" t="s">
        <v>75</v>
      </c>
      <c r="H2129" t="s">
        <v>30</v>
      </c>
      <c r="I2129">
        <v>60</v>
      </c>
      <c r="J2129">
        <v>20</v>
      </c>
      <c r="K2129">
        <v>3</v>
      </c>
      <c r="M2129">
        <v>1.1</v>
      </c>
      <c r="O2129">
        <v>125</v>
      </c>
      <c r="P2129">
        <v>190</v>
      </c>
      <c r="T2129">
        <v>3</v>
      </c>
      <c r="U2129" t="s">
        <v>3374</v>
      </c>
      <c r="V2129">
        <v>17.7</v>
      </c>
      <c r="W2129">
        <v>637</v>
      </c>
      <c r="Y2129" t="s">
        <v>339</v>
      </c>
    </row>
    <row r="2130" spans="1:25">
      <c r="A2130" t="s">
        <v>3375</v>
      </c>
      <c r="B2130" s="2" t="str">
        <f>Hyperlink("https://www.diodes.com/datasheet/download/ZXMP6A17E6Q.pdf")</f>
        <v>https://www.diodes.com/datasheet/download/ZXMP6A17E6Q.pdf</v>
      </c>
      <c r="C2130" t="str">
        <f>Hyperlink("https://www.diodes.com/part/view/ZXMP6A17E6Q","ZXMP6A17E6Q")</f>
        <v>ZXMP6A17E6Q</v>
      </c>
      <c r="D2130" t="s">
        <v>2123</v>
      </c>
      <c r="E2130" t="s">
        <v>27</v>
      </c>
      <c r="F2130" t="s">
        <v>37</v>
      </c>
      <c r="G2130" t="s">
        <v>75</v>
      </c>
      <c r="H2130" t="s">
        <v>30</v>
      </c>
      <c r="I2130">
        <v>60</v>
      </c>
      <c r="J2130">
        <v>20</v>
      </c>
      <c r="K2130">
        <v>3</v>
      </c>
      <c r="M2130">
        <v>1.1</v>
      </c>
      <c r="O2130">
        <v>125</v>
      </c>
      <c r="P2130">
        <v>190</v>
      </c>
      <c r="T2130">
        <v>3</v>
      </c>
      <c r="U2130" t="s">
        <v>3374</v>
      </c>
      <c r="V2130">
        <v>17.7</v>
      </c>
      <c r="Y2130" t="s">
        <v>339</v>
      </c>
    </row>
    <row r="2131" spans="1:25">
      <c r="A2131" t="s">
        <v>3376</v>
      </c>
      <c r="B2131" s="2" t="str">
        <f>Hyperlink("https://www.diodes.com/datasheet/download/ZXMP6A17G.pdf")</f>
        <v>https://www.diodes.com/datasheet/download/ZXMP6A17G.pdf</v>
      </c>
      <c r="C2131" t="str">
        <f>Hyperlink("https://www.diodes.com/part/view/ZXMP6A17G","ZXMP6A17G")</f>
        <v>ZXMP6A17G</v>
      </c>
      <c r="D2131" t="s">
        <v>74</v>
      </c>
      <c r="E2131" t="s">
        <v>27</v>
      </c>
      <c r="F2131" t="s">
        <v>28</v>
      </c>
      <c r="G2131" t="s">
        <v>75</v>
      </c>
      <c r="H2131" t="s">
        <v>30</v>
      </c>
      <c r="I2131">
        <v>60</v>
      </c>
      <c r="J2131">
        <v>20</v>
      </c>
      <c r="K2131">
        <v>4.3</v>
      </c>
      <c r="M2131">
        <v>2</v>
      </c>
      <c r="O2131">
        <v>125</v>
      </c>
      <c r="P2131">
        <v>190</v>
      </c>
      <c r="T2131">
        <v>1</v>
      </c>
      <c r="U2131">
        <v>9</v>
      </c>
      <c r="V2131">
        <v>17.7</v>
      </c>
      <c r="W2131">
        <v>637</v>
      </c>
      <c r="Y2131" t="s">
        <v>3028</v>
      </c>
    </row>
    <row r="2132" spans="1:25">
      <c r="A2132" t="s">
        <v>3377</v>
      </c>
      <c r="B2132" s="2" t="str">
        <f>Hyperlink("https://www.diodes.com/datasheet/download/ZXMP6A17GQ.pdf")</f>
        <v>https://www.diodes.com/datasheet/download/ZXMP6A17GQ.pdf</v>
      </c>
      <c r="C2132" t="str">
        <f>Hyperlink("https://www.diodes.com/part/view/ZXMP6A17GQ","ZXMP6A17GQ")</f>
        <v>ZXMP6A17GQ</v>
      </c>
      <c r="D2132" t="s">
        <v>2123</v>
      </c>
      <c r="E2132" t="s">
        <v>27</v>
      </c>
      <c r="F2132" t="s">
        <v>37</v>
      </c>
      <c r="G2132" t="s">
        <v>75</v>
      </c>
      <c r="H2132" t="s">
        <v>30</v>
      </c>
      <c r="I2132">
        <v>60</v>
      </c>
      <c r="J2132">
        <v>20</v>
      </c>
      <c r="K2132">
        <v>4.3</v>
      </c>
      <c r="M2132">
        <v>2</v>
      </c>
      <c r="O2132">
        <v>125</v>
      </c>
      <c r="P2132">
        <v>190</v>
      </c>
      <c r="T2132">
        <v>1</v>
      </c>
      <c r="U2132">
        <v>9</v>
      </c>
      <c r="V2132">
        <v>17.7</v>
      </c>
      <c r="Y2132" t="s">
        <v>820</v>
      </c>
    </row>
    <row r="2133" spans="1:25">
      <c r="A2133" t="s">
        <v>3378</v>
      </c>
      <c r="B2133" s="2" t="str">
        <f>Hyperlink("https://www.diodes.com/datasheet/download/ZXMP6A17K.pdf")</f>
        <v>https://www.diodes.com/datasheet/download/ZXMP6A17K.pdf</v>
      </c>
      <c r="C2133" t="str">
        <f>Hyperlink("https://www.diodes.com/part/view/ZXMP6A17K","ZXMP6A17K")</f>
        <v>ZXMP6A17K</v>
      </c>
      <c r="D2133" t="s">
        <v>74</v>
      </c>
      <c r="E2133" t="s">
        <v>27</v>
      </c>
      <c r="F2133" t="s">
        <v>28</v>
      </c>
      <c r="G2133" t="s">
        <v>75</v>
      </c>
      <c r="H2133" t="s">
        <v>30</v>
      </c>
      <c r="I2133">
        <v>60</v>
      </c>
      <c r="J2133">
        <v>20</v>
      </c>
      <c r="K2133">
        <v>6.6</v>
      </c>
      <c r="M2133">
        <v>4.17</v>
      </c>
      <c r="O2133">
        <v>125</v>
      </c>
      <c r="P2133">
        <v>190</v>
      </c>
      <c r="T2133">
        <v>1</v>
      </c>
      <c r="U2133">
        <v>9</v>
      </c>
      <c r="V2133">
        <v>17.7</v>
      </c>
      <c r="W2133">
        <v>637</v>
      </c>
      <c r="Y2133" t="s">
        <v>681</v>
      </c>
    </row>
    <row r="2134" spans="1:25">
      <c r="A2134" t="s">
        <v>3379</v>
      </c>
      <c r="B2134" s="2" t="str">
        <f>Hyperlink("https://www.diodes.com/datasheet/download/ZXMP6A17N8.pdf")</f>
        <v>https://www.diodes.com/datasheet/download/ZXMP6A17N8.pdf</v>
      </c>
      <c r="C2134" t="str">
        <f>Hyperlink("https://www.diodes.com/part/view/ZXMP6A17N8","ZXMP6A17N8")</f>
        <v>ZXMP6A17N8</v>
      </c>
      <c r="D2134" t="s">
        <v>74</v>
      </c>
      <c r="E2134" t="s">
        <v>27</v>
      </c>
      <c r="F2134" t="s">
        <v>28</v>
      </c>
      <c r="G2134" t="s">
        <v>75</v>
      </c>
      <c r="H2134" t="s">
        <v>30</v>
      </c>
      <c r="I2134">
        <v>60</v>
      </c>
      <c r="J2134">
        <v>20</v>
      </c>
      <c r="K2134">
        <v>3.4</v>
      </c>
      <c r="M2134">
        <v>1.56</v>
      </c>
      <c r="O2134">
        <v>125</v>
      </c>
      <c r="P2134">
        <v>190</v>
      </c>
      <c r="T2134">
        <v>1</v>
      </c>
      <c r="U2134">
        <v>9</v>
      </c>
      <c r="V2134">
        <v>17.7</v>
      </c>
      <c r="W2134">
        <v>637</v>
      </c>
      <c r="Y2134" t="s">
        <v>213</v>
      </c>
    </row>
    <row r="2135" spans="1:25">
      <c r="A2135" t="s">
        <v>3380</v>
      </c>
      <c r="B2135" s="2" t="str">
        <f>Hyperlink("https://www.diodes.com/datasheet/download/ZXMP6A18DN8.pdf")</f>
        <v>https://www.diodes.com/datasheet/download/ZXMP6A18DN8.pdf</v>
      </c>
      <c r="C2135" t="str">
        <f>Hyperlink("https://www.diodes.com/part/view/ZXMP6A18DN8","ZXMP6A18DN8")</f>
        <v>ZXMP6A18DN8</v>
      </c>
      <c r="D2135" t="s">
        <v>123</v>
      </c>
      <c r="E2135" t="s">
        <v>27</v>
      </c>
      <c r="F2135" t="s">
        <v>28</v>
      </c>
      <c r="G2135" t="s">
        <v>124</v>
      </c>
      <c r="H2135" t="s">
        <v>30</v>
      </c>
      <c r="I2135">
        <v>60</v>
      </c>
      <c r="J2135">
        <v>20</v>
      </c>
      <c r="K2135">
        <v>4.8</v>
      </c>
      <c r="M2135">
        <v>1.8</v>
      </c>
      <c r="O2135">
        <v>55</v>
      </c>
      <c r="P2135">
        <v>80</v>
      </c>
      <c r="T2135">
        <v>1</v>
      </c>
      <c r="U2135" t="s">
        <v>3381</v>
      </c>
      <c r="V2135">
        <v>44</v>
      </c>
      <c r="W2135">
        <v>1580</v>
      </c>
      <c r="Y2135" t="s">
        <v>213</v>
      </c>
    </row>
    <row r="2136" spans="1:25">
      <c r="A2136" t="s">
        <v>3382</v>
      </c>
      <c r="B2136" s="2" t="str">
        <f>Hyperlink("https://www.diodes.com/datasheet/download/ZXMP6A18K.pdf")</f>
        <v>https://www.diodes.com/datasheet/download/ZXMP6A18K.pdf</v>
      </c>
      <c r="C2136" t="str">
        <f>Hyperlink("https://www.diodes.com/part/view/ZXMP6A18K","ZXMP6A18K")</f>
        <v>ZXMP6A18K</v>
      </c>
      <c r="D2136" t="s">
        <v>74</v>
      </c>
      <c r="E2136" t="s">
        <v>27</v>
      </c>
      <c r="F2136" t="s">
        <v>28</v>
      </c>
      <c r="G2136" t="s">
        <v>75</v>
      </c>
      <c r="H2136" t="s">
        <v>30</v>
      </c>
      <c r="I2136">
        <v>60</v>
      </c>
      <c r="J2136">
        <v>20</v>
      </c>
      <c r="K2136">
        <v>6.8</v>
      </c>
      <c r="M2136">
        <v>4.3</v>
      </c>
      <c r="O2136">
        <v>55</v>
      </c>
      <c r="P2136">
        <v>80</v>
      </c>
      <c r="T2136">
        <v>1</v>
      </c>
      <c r="U2136" t="s">
        <v>3381</v>
      </c>
      <c r="V2136">
        <v>44</v>
      </c>
      <c r="W2136">
        <v>1580</v>
      </c>
      <c r="Y2136" t="s">
        <v>681</v>
      </c>
    </row>
    <row r="2137" spans="1:25">
      <c r="A2137" t="s">
        <v>3383</v>
      </c>
      <c r="B2137" s="2" t="str">
        <f>Hyperlink("https://www.diodes.com/datasheet/download/ZXMP7A17G.pdf")</f>
        <v>https://www.diodes.com/datasheet/download/ZXMP7A17G.pdf</v>
      </c>
      <c r="C2137" t="str">
        <f>Hyperlink("https://www.diodes.com/part/view/ZXMP7A17G","ZXMP7A17G")</f>
        <v>ZXMP7A17G</v>
      </c>
      <c r="D2137" t="s">
        <v>74</v>
      </c>
      <c r="E2137" t="s">
        <v>27</v>
      </c>
      <c r="F2137" t="s">
        <v>28</v>
      </c>
      <c r="G2137" t="s">
        <v>75</v>
      </c>
      <c r="H2137" t="s">
        <v>30</v>
      </c>
      <c r="I2137">
        <v>70</v>
      </c>
      <c r="J2137">
        <v>20</v>
      </c>
      <c r="K2137">
        <v>3.7</v>
      </c>
      <c r="M2137">
        <v>2</v>
      </c>
      <c r="O2137">
        <v>160</v>
      </c>
      <c r="P2137">
        <v>250</v>
      </c>
      <c r="T2137">
        <v>1</v>
      </c>
      <c r="U2137" t="s">
        <v>3243</v>
      </c>
      <c r="V2137">
        <v>18</v>
      </c>
      <c r="W2137">
        <v>635</v>
      </c>
      <c r="Y2137" t="s">
        <v>820</v>
      </c>
    </row>
    <row r="2138" spans="1:25">
      <c r="A2138" t="s">
        <v>3384</v>
      </c>
      <c r="B2138" s="2" t="str">
        <f>Hyperlink("https://www.diodes.com/datasheet/download/ZXMP7A17GQ.pdf")</f>
        <v>https://www.diodes.com/datasheet/download/ZXMP7A17GQ.pdf</v>
      </c>
      <c r="C2138" t="str">
        <f>Hyperlink("https://www.diodes.com/part/view/ZXMP7A17GQ","ZXMP7A17GQ")</f>
        <v>ZXMP7A17GQ</v>
      </c>
      <c r="D2138" t="s">
        <v>3385</v>
      </c>
      <c r="E2138" t="s">
        <v>27</v>
      </c>
      <c r="F2138" t="s">
        <v>37</v>
      </c>
      <c r="G2138" t="s">
        <v>75</v>
      </c>
      <c r="H2138" t="s">
        <v>30</v>
      </c>
      <c r="I2138">
        <v>70</v>
      </c>
      <c r="J2138">
        <v>20</v>
      </c>
      <c r="K2138">
        <v>3.7</v>
      </c>
      <c r="M2138">
        <v>2</v>
      </c>
      <c r="O2138">
        <v>160</v>
      </c>
      <c r="P2138">
        <v>250</v>
      </c>
      <c r="T2138">
        <v>1</v>
      </c>
      <c r="U2138" t="s">
        <v>3243</v>
      </c>
      <c r="V2138">
        <v>18</v>
      </c>
      <c r="Y2138" t="s">
        <v>820</v>
      </c>
    </row>
    <row r="2139" spans="1:25">
      <c r="A2139" t="s">
        <v>3386</v>
      </c>
      <c r="B2139" s="2" t="str">
        <f>Hyperlink("https://www.diodes.com/datasheet/download/ZXMP7A17K.pdf")</f>
        <v>https://www.diodes.com/datasheet/download/ZXMP7A17K.pdf</v>
      </c>
      <c r="C2139" t="str">
        <f>Hyperlink("https://www.diodes.com/part/view/ZXMP7A17K","ZXMP7A17K")</f>
        <v>ZXMP7A17K</v>
      </c>
      <c r="D2139" t="s">
        <v>74</v>
      </c>
      <c r="E2139" t="s">
        <v>27</v>
      </c>
      <c r="F2139" t="s">
        <v>28</v>
      </c>
      <c r="G2139" t="s">
        <v>75</v>
      </c>
      <c r="H2139" t="s">
        <v>30</v>
      </c>
      <c r="I2139">
        <v>70</v>
      </c>
      <c r="J2139">
        <v>20</v>
      </c>
      <c r="K2139">
        <v>5.7</v>
      </c>
      <c r="M2139">
        <v>4.17</v>
      </c>
      <c r="O2139">
        <v>160</v>
      </c>
      <c r="P2139">
        <v>250</v>
      </c>
      <c r="T2139">
        <v>1</v>
      </c>
      <c r="U2139" t="s">
        <v>3243</v>
      </c>
      <c r="V2139">
        <v>18</v>
      </c>
      <c r="W2139">
        <v>635</v>
      </c>
      <c r="Y2139" t="s">
        <v>681</v>
      </c>
    </row>
    <row r="2140" spans="1:25">
      <c r="A2140" t="s">
        <v>3387</v>
      </c>
      <c r="B2140" s="2" t="str">
        <f>Hyperlink("https://www.diodes.com/datasheet/download/ZXMP7A17KQ.pdf")</f>
        <v>https://www.diodes.com/datasheet/download/ZXMP7A17KQ.pdf</v>
      </c>
      <c r="C2140" t="str">
        <f>Hyperlink("https://www.diodes.com/part/view/ZXMP7A17KQ","ZXMP7A17KQ")</f>
        <v>ZXMP7A17KQ</v>
      </c>
      <c r="D2140" t="s">
        <v>3385</v>
      </c>
      <c r="E2140" t="s">
        <v>27</v>
      </c>
      <c r="F2140" t="s">
        <v>37</v>
      </c>
      <c r="G2140" t="s">
        <v>75</v>
      </c>
      <c r="H2140" t="s">
        <v>30</v>
      </c>
      <c r="I2140">
        <v>70</v>
      </c>
      <c r="J2140">
        <v>20</v>
      </c>
      <c r="K2140">
        <v>5.7</v>
      </c>
      <c r="M2140">
        <v>4.17</v>
      </c>
      <c r="O2140">
        <v>160</v>
      </c>
      <c r="P2140">
        <v>250</v>
      </c>
      <c r="T2140">
        <v>1</v>
      </c>
      <c r="U2140" t="s">
        <v>3243</v>
      </c>
      <c r="V2140">
        <v>18</v>
      </c>
      <c r="X2140">
        <v>40</v>
      </c>
      <c r="Y2140" t="s">
        <v>681</v>
      </c>
    </row>
  </sheetData>
  <autoFilter ref="A1:Y2140"/>
  <hyperlinks>
    <hyperlink ref="B2" r:id="rId_hyperlink_1" tooltip="https://www.diodes.com/datasheet/download/2N7002.pdf" display="https://www.diodes.com/datasheet/download/2N7002.pdf"/>
    <hyperlink ref="C2" r:id="rId_hyperlink_2" tooltip="2N7002" display="2N7002"/>
    <hyperlink ref="B3" r:id="rId_hyperlink_3" tooltip="https://www.diodes.com/datasheet/download/2N7002A.pdf" display="https://www.diodes.com/datasheet/download/2N7002A.pdf"/>
    <hyperlink ref="C3" r:id="rId_hyperlink_4" tooltip="2N7002A" display="2N7002A"/>
    <hyperlink ref="B4" r:id="rId_hyperlink_5" tooltip="https://www.diodes.com/datasheet/download/2N7002AQ.pdf" display="https://www.diodes.com/datasheet/download/2N7002AQ.pdf"/>
    <hyperlink ref="C4" r:id="rId_hyperlink_6" tooltip="2N7002AQ" display="2N7002AQ"/>
    <hyperlink ref="B5" r:id="rId_hyperlink_7" tooltip="https://www.diodes.com/datasheet/download/2N7002DW.pdf" display="https://www.diodes.com/datasheet/download/2N7002DW.pdf"/>
    <hyperlink ref="C5" r:id="rId_hyperlink_8" tooltip="2N7002DW" display="2N7002DW"/>
    <hyperlink ref="B6" r:id="rId_hyperlink_9" tooltip="https://www.diodes.com/datasheet/download/2N7002DWK.pdf" display="https://www.diodes.com/datasheet/download/2N7002DWK.pdf"/>
    <hyperlink ref="C6" r:id="rId_hyperlink_10" tooltip="2N7002DWK" display="2N7002DWK"/>
    <hyperlink ref="B7" r:id="rId_hyperlink_11" tooltip="https://www.diodes.com/datasheet/download/2N7002DWQ.pdf" display="https://www.diodes.com/datasheet/download/2N7002DWQ.pdf"/>
    <hyperlink ref="C7" r:id="rId_hyperlink_12" tooltip="2N7002DWQ" display="2N7002DWQ"/>
    <hyperlink ref="B8" r:id="rId_hyperlink_13" tooltip="https://www.diodes.com/datasheet/download/2N7002DWS.pdf" display="https://www.diodes.com/datasheet/download/2N7002DWS.pdf"/>
    <hyperlink ref="C8" r:id="rId_hyperlink_14" tooltip="2N7002DWS" display="2N7002DWS"/>
    <hyperlink ref="B9" r:id="rId_hyperlink_15" tooltip="https://www.diodes.com/datasheet/download/2N7002E.pdf" display="https://www.diodes.com/datasheet/download/2N7002E.pdf"/>
    <hyperlink ref="C9" r:id="rId_hyperlink_16" tooltip="2N7002E" display="2N7002E"/>
    <hyperlink ref="B10" r:id="rId_hyperlink_17" tooltip="https://www.diodes.com/datasheet/download/2N7002EQ.pdf" display="https://www.diodes.com/datasheet/download/2N7002EQ.pdf"/>
    <hyperlink ref="C10" r:id="rId_hyperlink_18" tooltip="2N7002EQ" display="2N7002EQ"/>
    <hyperlink ref="B11" r:id="rId_hyperlink_19" tooltip="https://www.diodes.com/datasheet/download/2N7002H.pdf" display="https://www.diodes.com/datasheet/download/2N7002H.pdf"/>
    <hyperlink ref="C11" r:id="rId_hyperlink_20" tooltip="2N7002H" display="2N7002H"/>
    <hyperlink ref="B12" r:id="rId_hyperlink_21" tooltip="https://www.diodes.com/datasheet/download/2N7002K.pdf" display="https://www.diodes.com/datasheet/download/2N7002K.pdf"/>
    <hyperlink ref="C12" r:id="rId_hyperlink_22" tooltip="2N7002K" display="2N7002K"/>
    <hyperlink ref="B13" r:id="rId_hyperlink_23" tooltip="https://www.diodes.com/datasheet/download/2N7002KQ.pdf" display="https://www.diodes.com/datasheet/download/2N7002KQ.pdf"/>
    <hyperlink ref="C13" r:id="rId_hyperlink_24" tooltip="2N7002KQ" display="2N7002KQ"/>
    <hyperlink ref="B14" r:id="rId_hyperlink_25" tooltip="https://www.diodes.com/datasheet/download/2N7002Q.pdf" display="https://www.diodes.com/datasheet/download/2N7002Q.pdf"/>
    <hyperlink ref="C14" r:id="rId_hyperlink_26" tooltip="2N7002Q" display="2N7002Q"/>
    <hyperlink ref="B15" r:id="rId_hyperlink_27" tooltip="https://www.diodes.com/datasheet/download/2N7002T.pdf" display="https://www.diodes.com/datasheet/download/2N7002T.pdf"/>
    <hyperlink ref="C15" r:id="rId_hyperlink_28" tooltip="2N7002T" display="2N7002T"/>
    <hyperlink ref="B16" r:id="rId_hyperlink_29" tooltip="https://www.diodes.com/datasheet/download/2N7002TQ.pdf" display="https://www.diodes.com/datasheet/download/2N7002TQ.pdf"/>
    <hyperlink ref="C16" r:id="rId_hyperlink_30" tooltip="2N7002TQ" display="2N7002TQ"/>
    <hyperlink ref="B17" r:id="rId_hyperlink_31" tooltip="https://www.diodes.com/datasheet/download/2N7002VAC.pdf" display="https://www.diodes.com/datasheet/download/2N7002VAC.pdf"/>
    <hyperlink ref="C17" r:id="rId_hyperlink_32" tooltip="2N7002VAC" display="2N7002VAC"/>
    <hyperlink ref="B18" r:id="rId_hyperlink_33" tooltip="https://www.diodes.com/datasheet/download/2N7002VC.pdf" display="https://www.diodes.com/datasheet/download/2N7002VC.pdf"/>
    <hyperlink ref="C18" r:id="rId_hyperlink_34" tooltip="2N7002VC" display="2N7002VC"/>
    <hyperlink ref="B19" r:id="rId_hyperlink_35" tooltip="https://www.diodes.com/datasheet/download/2N7002W.pdf" display="https://www.diodes.com/datasheet/download/2N7002W.pdf"/>
    <hyperlink ref="C19" r:id="rId_hyperlink_36" tooltip="2N7002W" display="2N7002W"/>
    <hyperlink ref="B20" r:id="rId_hyperlink_37" tooltip="https://www.diodes.com/datasheet/download/BS107P.pdf" display="https://www.diodes.com/datasheet/download/BS107P.pdf"/>
    <hyperlink ref="C20" r:id="rId_hyperlink_38" tooltip="BS107P" display="BS107P"/>
    <hyperlink ref="B21" r:id="rId_hyperlink_39" tooltip="https://www.diodes.com/datasheet/download/BS170F.pdf" display="https://www.diodes.com/datasheet/download/BS170F.pdf"/>
    <hyperlink ref="C21" r:id="rId_hyperlink_40" tooltip="BS170F" display="BS170F"/>
    <hyperlink ref="B22" r:id="rId_hyperlink_41" tooltip="https://www.diodes.com/datasheet/download/BS170P.pdf" display="https://www.diodes.com/datasheet/download/BS170P.pdf"/>
    <hyperlink ref="C22" r:id="rId_hyperlink_42" tooltip="BS170P" display="BS170P"/>
    <hyperlink ref="B23" r:id="rId_hyperlink_43" tooltip="https://www.diodes.com/datasheet/download/BS250F.pdf" display="https://www.diodes.com/datasheet/download/BS250F.pdf"/>
    <hyperlink ref="C23" r:id="rId_hyperlink_44" tooltip="BS250F" display="BS250F"/>
    <hyperlink ref="B24" r:id="rId_hyperlink_45" tooltip="https://www.diodes.com/datasheet/download/BS250P.pdf" display="https://www.diodes.com/datasheet/download/BS250P.pdf"/>
    <hyperlink ref="C24" r:id="rId_hyperlink_46" tooltip="BS250P" display="BS250P"/>
    <hyperlink ref="B25" r:id="rId_hyperlink_47" tooltip="https://www.diodes.com/datasheet/download/BS870.pdf" display="https://www.diodes.com/datasheet/download/BS870.pdf"/>
    <hyperlink ref="C25" r:id="rId_hyperlink_48" tooltip="BS870" display="BS870"/>
    <hyperlink ref="B26" r:id="rId_hyperlink_49" tooltip="https://www.diodes.com/datasheet/download/BS870Q.pdf" display="https://www.diodes.com/datasheet/download/BS870Q.pdf"/>
    <hyperlink ref="C26" r:id="rId_hyperlink_50" tooltip="BS870Q" display="BS870Q"/>
    <hyperlink ref="B27" r:id="rId_hyperlink_51" tooltip="https://www.diodes.com/datasheet/download/BSN20.pdf" display="https://www.diodes.com/datasheet/download/BSN20.pdf"/>
    <hyperlink ref="C27" r:id="rId_hyperlink_52" tooltip="BSN20" display="BSN20"/>
    <hyperlink ref="B28" r:id="rId_hyperlink_53" tooltip="https://www.diodes.com/datasheet/download/BSS123.pdf" display="https://www.diodes.com/datasheet/download/BSS123.pdf"/>
    <hyperlink ref="C28" r:id="rId_hyperlink_54" tooltip="BSS123" display="BSS123"/>
    <hyperlink ref="B29" r:id="rId_hyperlink_55" tooltip="https://www.diodes.com/datasheet/download/BSS123%28Z%29.pdf" display="https://www.diodes.com/datasheet/download/BSS123%28Z%29.pdf"/>
    <hyperlink ref="C29" r:id="rId_hyperlink_56" tooltip="BSS123(Z)" display="BSS123(Z)"/>
    <hyperlink ref="B30" r:id="rId_hyperlink_57" tooltip="https://www.diodes.com/datasheet/download/BSS123K.pdf" display="https://www.diodes.com/datasheet/download/BSS123K.pdf"/>
    <hyperlink ref="C30" r:id="rId_hyperlink_58" tooltip="BSS123K" display="BSS123K"/>
    <hyperlink ref="B31" r:id="rId_hyperlink_59" tooltip="https://www.diodes.com/datasheet/download/BSS123Q.pdf" display="https://www.diodes.com/datasheet/download/BSS123Q.pdf"/>
    <hyperlink ref="C31" r:id="rId_hyperlink_60" tooltip="BSS123Q" display="BSS123Q"/>
    <hyperlink ref="B32" r:id="rId_hyperlink_61" tooltip="https://www.diodes.com/datasheet/download/BSS123W.pdf" display="https://www.diodes.com/datasheet/download/BSS123W.pdf"/>
    <hyperlink ref="C32" r:id="rId_hyperlink_62" tooltip="BSS123W" display="BSS123W"/>
    <hyperlink ref="B33" r:id="rId_hyperlink_63" tooltip="https://www.diodes.com/datasheet/download/BSS123WQ.pdf" display="https://www.diodes.com/datasheet/download/BSS123WQ.pdf"/>
    <hyperlink ref="C33" r:id="rId_hyperlink_64" tooltip="BSS123WQ" display="BSS123WQ"/>
    <hyperlink ref="B34" r:id="rId_hyperlink_65" tooltip="https://www.diodes.com/datasheet/download/BSS127S.pdf" display="https://www.diodes.com/datasheet/download/BSS127S.pdf"/>
    <hyperlink ref="C34" r:id="rId_hyperlink_66" tooltip="BSS127S" display="BSS127S"/>
    <hyperlink ref="B35" r:id="rId_hyperlink_67" tooltip="https://www.diodes.com/datasheet/download/BSS127SSN.pdf" display="https://www.diodes.com/datasheet/download/BSS127SSN.pdf"/>
    <hyperlink ref="C35" r:id="rId_hyperlink_68" tooltip="BSS127SSN" display="BSS127SSN"/>
    <hyperlink ref="B36" r:id="rId_hyperlink_69" tooltip="https://www.diodes.com/datasheet/download/BSS138.pdf" display="https://www.diodes.com/datasheet/download/BSS138.pdf"/>
    <hyperlink ref="C36" r:id="rId_hyperlink_70" tooltip="BSS138" display="BSS138"/>
    <hyperlink ref="B37" r:id="rId_hyperlink_71" tooltip="https://www.diodes.com/datasheet/download/BSS138DW.pdf" display="https://www.diodes.com/datasheet/download/BSS138DW.pdf"/>
    <hyperlink ref="C37" r:id="rId_hyperlink_72" tooltip="BSS138DW" display="BSS138DW"/>
    <hyperlink ref="B38" r:id="rId_hyperlink_73" tooltip="https://www.diodes.com/datasheet/download/BSS138DWK.pdf" display="https://www.diodes.com/datasheet/download/BSS138DWK.pdf"/>
    <hyperlink ref="C38" r:id="rId_hyperlink_74" tooltip="BSS138DWK" display="BSS138DWK"/>
    <hyperlink ref="B39" r:id="rId_hyperlink_75" tooltip="https://www.diodes.com/datasheet/download/BSS138DWQ.pdf" display="https://www.diodes.com/datasheet/download/BSS138DWQ.pdf"/>
    <hyperlink ref="C39" r:id="rId_hyperlink_76" tooltip="BSS138DWQ" display="BSS138DWQ"/>
    <hyperlink ref="B40" r:id="rId_hyperlink_77" tooltip="https://www.diodes.com/datasheet/download/BSS138K.pdf" display="https://www.diodes.com/datasheet/download/BSS138K.pdf"/>
    <hyperlink ref="C40" r:id="rId_hyperlink_78" tooltip="BSS138K" display="BSS138K"/>
    <hyperlink ref="B41" r:id="rId_hyperlink_79" tooltip="https://www.diodes.com/datasheet/download/BSS138Q.pdf" display="https://www.diodes.com/datasheet/download/BSS138Q.pdf"/>
    <hyperlink ref="C41" r:id="rId_hyperlink_80" tooltip="BSS138Q" display="BSS138Q"/>
    <hyperlink ref="B42" r:id="rId_hyperlink_81" tooltip="https://www.diodes.com/datasheet/download/BSS138W.pdf" display="https://www.diodes.com/datasheet/download/BSS138W.pdf"/>
    <hyperlink ref="C42" r:id="rId_hyperlink_82" tooltip="BSS138W" display="BSS138W"/>
    <hyperlink ref="B43" r:id="rId_hyperlink_83" tooltip="https://www.diodes.com/datasheet/download/BSS138WQ.pdf" display="https://www.diodes.com/datasheet/download/BSS138WQ.pdf"/>
    <hyperlink ref="C43" r:id="rId_hyperlink_84" tooltip="BSS138WQ" display="BSS138WQ"/>
    <hyperlink ref="B44" r:id="rId_hyperlink_85" tooltip="https://www.diodes.com/datasheet/download/BSS84.pdf" display="https://www.diodes.com/datasheet/download/BSS84.pdf"/>
    <hyperlink ref="C44" r:id="rId_hyperlink_86" tooltip="BSS84" display="BSS84"/>
    <hyperlink ref="B45" r:id="rId_hyperlink_87" tooltip="https://www.diodes.com/datasheet/download/BSS8402DW.pdf" display="https://www.diodes.com/datasheet/download/BSS8402DW.pdf"/>
    <hyperlink ref="C45" r:id="rId_hyperlink_88" tooltip="BSS8402DW" display="BSS8402DW"/>
    <hyperlink ref="B46" r:id="rId_hyperlink_89" tooltip="https://www.diodes.com/datasheet/download/BSS84DW.pdf" display="https://www.diodes.com/datasheet/download/BSS84DW.pdf"/>
    <hyperlink ref="C46" r:id="rId_hyperlink_90" tooltip="BSS84DW" display="BSS84DW"/>
    <hyperlink ref="B47" r:id="rId_hyperlink_91" tooltip="https://www.diodes.com/datasheet/download/BSS84DWQ.pdf" display="https://www.diodes.com/datasheet/download/BSS84DWQ.pdf"/>
    <hyperlink ref="C47" r:id="rId_hyperlink_92" tooltip="BSS84DWQ" display="BSS84DWQ"/>
    <hyperlink ref="B48" r:id="rId_hyperlink_93" tooltip="https://www.diodes.com/datasheet/download/BSS84Q.pdf" display="https://www.diodes.com/datasheet/download/BSS84Q.pdf"/>
    <hyperlink ref="C48" r:id="rId_hyperlink_94" tooltip="BSS84Q" display="BSS84Q"/>
    <hyperlink ref="B49" r:id="rId_hyperlink_95" tooltip="https://www.diodes.com/datasheet/download/BSS84W.pdf" display="https://www.diodes.com/datasheet/download/BSS84W.pdf"/>
    <hyperlink ref="C49" r:id="rId_hyperlink_96" tooltip="BSS84W" display="BSS84W"/>
    <hyperlink ref="B50" r:id="rId_hyperlink_97" tooltip="https://www.diodes.com/datasheet/download/BSS84WQ.pdf" display="https://www.diodes.com/datasheet/download/BSS84WQ.pdf"/>
    <hyperlink ref="C50" r:id="rId_hyperlink_98" tooltip="BSS84WQ" display="BSS84WQ"/>
    <hyperlink ref="B51" r:id="rId_hyperlink_99" tooltip="https://www.diodes.com/datasheet/download/DMC1015UPD.pdf" display="https://www.diodes.com/datasheet/download/DMC1015UPD.pdf"/>
    <hyperlink ref="C51" r:id="rId_hyperlink_100" tooltip="DMC1015UPD" display="DMC1015UPD"/>
    <hyperlink ref="B52" r:id="rId_hyperlink_101" tooltip="https://www.diodes.com/datasheet/download/DMC1016UPD.pdf" display="https://www.diodes.com/datasheet/download/DMC1016UPD.pdf"/>
    <hyperlink ref="C52" r:id="rId_hyperlink_102" tooltip="DMC1016UPD" display="DMC1016UPD"/>
    <hyperlink ref="B53" r:id="rId_hyperlink_103" tooltip="https://www.diodes.com/datasheet/download/DMC1018UPD.pdf" display="https://www.diodes.com/datasheet/download/DMC1018UPD.pdf"/>
    <hyperlink ref="C53" r:id="rId_hyperlink_104" tooltip="DMC1018UPD" display="DMC1018UPD"/>
    <hyperlink ref="B54" r:id="rId_hyperlink_105" tooltip="https://www.diodes.com/datasheet/download/DMC1018UPDWQ.pdf" display="https://www.diodes.com/datasheet/download/DMC1018UPDWQ.pdf"/>
    <hyperlink ref="C54" r:id="rId_hyperlink_106" tooltip="DMC1018UPDWQ" display="DMC1018UPDWQ"/>
    <hyperlink ref="B55" r:id="rId_hyperlink_107" tooltip="https://www.diodes.com/datasheet/download/DMC1028UFDB.pdf" display="https://www.diodes.com/datasheet/download/DMC1028UFDB.pdf"/>
    <hyperlink ref="C55" r:id="rId_hyperlink_108" tooltip="DMC1028UFDB" display="DMC1028UFDB"/>
    <hyperlink ref="B56" r:id="rId_hyperlink_109" tooltip="https://www.diodes.com/datasheet/download/DMC1028UVT.pdf" display="https://www.diodes.com/datasheet/download/DMC1028UVT.pdf"/>
    <hyperlink ref="C56" r:id="rId_hyperlink_110" tooltip="DMC1028UVT" display="DMC1028UVT"/>
    <hyperlink ref="B57" r:id="rId_hyperlink_111" tooltip="https://www.diodes.com/datasheet/download/DMC1029UFDB.pdf" display="https://www.diodes.com/datasheet/download/DMC1029UFDB.pdf"/>
    <hyperlink ref="C57" r:id="rId_hyperlink_112" tooltip="DMC1029UFDB" display="DMC1029UFDB"/>
    <hyperlink ref="B58" r:id="rId_hyperlink_113" tooltip="https://www.diodes.com/datasheet/download/DMC1030UFDB.pdf" display="https://www.diodes.com/datasheet/download/DMC1030UFDB.pdf"/>
    <hyperlink ref="C58" r:id="rId_hyperlink_114" tooltip="DMC1030UFDB" display="DMC1030UFDB"/>
    <hyperlink ref="B59" r:id="rId_hyperlink_115" tooltip="https://www.diodes.com/datasheet/download/DMC10H172SSD.pdf" display="https://www.diodes.com/datasheet/download/DMC10H172SSD.pdf"/>
    <hyperlink ref="C59" r:id="rId_hyperlink_116" tooltip="DMC10H172SSD" display="DMC10H172SSD"/>
    <hyperlink ref="B60" r:id="rId_hyperlink_117" tooltip="https://www.diodes.com/datasheet/download/DMC10H220LSD.pdf" display="https://www.diodes.com/datasheet/download/DMC10H220LSD.pdf"/>
    <hyperlink ref="C60" r:id="rId_hyperlink_118" tooltip="DMC10H220LSD" display="DMC10H220LSD"/>
    <hyperlink ref="B61" r:id="rId_hyperlink_119" tooltip="https://www.diodes.com/datasheet/download/DMC1229UFDB.pdf" display="https://www.diodes.com/datasheet/download/DMC1229UFDB.pdf"/>
    <hyperlink ref="C61" r:id="rId_hyperlink_120" tooltip="DMC1229UFDB" display="DMC1229UFDB"/>
    <hyperlink ref="B62" r:id="rId_hyperlink_121" tooltip="https://www.diodes.com/datasheet/download/DMC2004DWK.pdf" display="https://www.diodes.com/datasheet/download/DMC2004DWK.pdf"/>
    <hyperlink ref="C62" r:id="rId_hyperlink_122" tooltip="DMC2004DWK" display="DMC2004DWK"/>
    <hyperlink ref="B63" r:id="rId_hyperlink_123" tooltip="https://www.diodes.com/datasheet/download/DMC2004LPK.pdf" display="https://www.diodes.com/datasheet/download/DMC2004LPK.pdf"/>
    <hyperlink ref="C63" r:id="rId_hyperlink_124" tooltip="DMC2004LPK" display="DMC2004LPK"/>
    <hyperlink ref="B64" r:id="rId_hyperlink_125" tooltip="https://www.diodes.com/datasheet/download/DMC2020USD.pdf" display="https://www.diodes.com/datasheet/download/DMC2020USD.pdf"/>
    <hyperlink ref="C64" r:id="rId_hyperlink_126" tooltip="DMC2020USD" display="DMC2020USD"/>
    <hyperlink ref="B65" r:id="rId_hyperlink_127" tooltip="https://www.diodes.com/datasheet/download/DMC2025UFDB.pdf" display="https://www.diodes.com/datasheet/download/DMC2025UFDB.pdf"/>
    <hyperlink ref="C65" r:id="rId_hyperlink_128" tooltip="DMC2025UFDB" display="DMC2025UFDB"/>
    <hyperlink ref="B66" r:id="rId_hyperlink_129" tooltip="https://www.diodes.com/datasheet/download/DMC2025UFDBQ+.pdf" display="https://www.diodes.com/datasheet/download/DMC2025UFDBQ+.pdf"/>
    <hyperlink ref="C66" r:id="rId_hyperlink_130" tooltip="DMC2025UFDBQ" display="DMC2025UFDBQ"/>
    <hyperlink ref="B67" r:id="rId_hyperlink_131" tooltip="https://www.diodes.com/datasheet/download/DMC2041UFDB.pdf" display="https://www.diodes.com/datasheet/download/DMC2041UFDB.pdf"/>
    <hyperlink ref="C67" r:id="rId_hyperlink_132" tooltip="DMC2041UFDB" display="DMC2041UFDB"/>
    <hyperlink ref="B68" r:id="rId_hyperlink_133" tooltip="https://www.diodes.com/datasheet/download/DMC2053UFDB.pdf" display="https://www.diodes.com/datasheet/download/DMC2053UFDB.pdf"/>
    <hyperlink ref="C68" r:id="rId_hyperlink_134" tooltip="DMC2053UFDB" display="DMC2053UFDB"/>
    <hyperlink ref="B69" r:id="rId_hyperlink_135" tooltip="https://www.diodes.com/datasheet/download/DMC2053UFDBQ.pdf" display="https://www.diodes.com/datasheet/download/DMC2053UFDBQ.pdf"/>
    <hyperlink ref="C69" r:id="rId_hyperlink_136" tooltip="DMC2053UFDBQ" display="DMC2053UFDBQ"/>
    <hyperlink ref="B70" r:id="rId_hyperlink_137" tooltip="https://www.diodes.com/datasheet/download/DMC2053UVT.pdf" display="https://www.diodes.com/datasheet/download/DMC2053UVT.pdf"/>
    <hyperlink ref="C70" r:id="rId_hyperlink_138" tooltip="DMC2053UVT" display="DMC2053UVT"/>
    <hyperlink ref="B71" r:id="rId_hyperlink_139" tooltip="https://www.diodes.com/datasheet/download/DMC2053UVTQ.pdf" display="https://www.diodes.com/datasheet/download/DMC2053UVTQ.pdf"/>
    <hyperlink ref="C71" r:id="rId_hyperlink_140" tooltip="DMC2053UVTQ" display="DMC2053UVTQ"/>
    <hyperlink ref="B72" r:id="rId_hyperlink_141" tooltip="https://www.diodes.com/datasheet/download/DMC2057UVT.pdf" display="https://www.diodes.com/datasheet/download/DMC2057UVT.pdf"/>
    <hyperlink ref="C72" r:id="rId_hyperlink_142" tooltip="DMC2057UVT" display="DMC2057UVT"/>
    <hyperlink ref="B73" r:id="rId_hyperlink_143" tooltip="https://www.diodes.com/datasheet/download/DMC21D1UDA.pdf" display="https://www.diodes.com/datasheet/download/DMC21D1UDA.pdf"/>
    <hyperlink ref="C73" r:id="rId_hyperlink_144" tooltip="DMC21D1UDA" display="DMC21D1UDA"/>
    <hyperlink ref="B74" r:id="rId_hyperlink_145" tooltip="https://www.diodes.com/datasheet/download/DMC2400UV.pdf" display="https://www.diodes.com/datasheet/download/DMC2400UV.pdf"/>
    <hyperlink ref="C74" r:id="rId_hyperlink_146" tooltip="DMC2400UV" display="DMC2400UV"/>
    <hyperlink ref="B75" r:id="rId_hyperlink_147" tooltip="https://www.diodes.com/datasheet/download/DMC2400UVQ.pdf" display="https://www.diodes.com/datasheet/download/DMC2400UVQ.pdf"/>
    <hyperlink ref="C75" r:id="rId_hyperlink_148" tooltip="DMC2400UVQ" display="DMC2400UVQ"/>
    <hyperlink ref="B76" r:id="rId_hyperlink_149" tooltip="https://www.diodes.com/datasheet/download/DMC2450UV.pdf" display="https://www.diodes.com/datasheet/download/DMC2450UV.pdf"/>
    <hyperlink ref="C76" r:id="rId_hyperlink_150" tooltip="DMC2450UV" display="DMC2450UV"/>
    <hyperlink ref="B77" r:id="rId_hyperlink_151" tooltip="https://www.diodes.com/datasheet/download/DMC25D0UVT.pdf" display="https://www.diodes.com/datasheet/download/DMC25D0UVT.pdf"/>
    <hyperlink ref="C77" r:id="rId_hyperlink_152" tooltip="DMC25D0UVT" display="DMC25D0UVT"/>
    <hyperlink ref="B78" r:id="rId_hyperlink_153" tooltip="https://www.diodes.com/datasheet/download/DMC25D1UVT.pdf" display="https://www.diodes.com/datasheet/download/DMC25D1UVT.pdf"/>
    <hyperlink ref="C78" r:id="rId_hyperlink_154" tooltip="DMC25D1UVT" display="DMC25D1UVT"/>
    <hyperlink ref="B79" r:id="rId_hyperlink_155" tooltip="https://www.diodes.com/datasheet/download/DMC2700UDM.pdf" display="https://www.diodes.com/datasheet/download/DMC2700UDM.pdf"/>
    <hyperlink ref="C79" r:id="rId_hyperlink_156" tooltip="DMC2700UDM" display="DMC2700UDM"/>
    <hyperlink ref="B80" r:id="rId_hyperlink_157" tooltip="https://www.diodes.com/datasheet/download/DMC2710UDW+.pdf" display="https://www.diodes.com/datasheet/download/DMC2710UDW+.pdf"/>
    <hyperlink ref="C80" r:id="rId_hyperlink_158" tooltip="DMC2710UDW" display="DMC2710UDW"/>
    <hyperlink ref="B81" r:id="rId_hyperlink_159" tooltip="https://www.diodes.com/datasheet/download/DMC2710UDWQ.pdf" display="https://www.diodes.com/datasheet/download/DMC2710UDWQ.pdf"/>
    <hyperlink ref="C81" r:id="rId_hyperlink_160" tooltip="DMC2710UDWQ" display="DMC2710UDWQ"/>
    <hyperlink ref="B82" r:id="rId_hyperlink_161" tooltip="https://www.diodes.com/datasheet/download/DMC2710UV.pdf" display="https://www.diodes.com/datasheet/download/DMC2710UV.pdf"/>
    <hyperlink ref="C82" r:id="rId_hyperlink_162" tooltip="DMC2710UV" display="DMC2710UV"/>
    <hyperlink ref="B83" r:id="rId_hyperlink_163" tooltip="https://www.diodes.com/datasheet/download/DMC2710UVQ.pdf" display="https://www.diodes.com/datasheet/download/DMC2710UVQ.pdf"/>
    <hyperlink ref="C83" r:id="rId_hyperlink_164" tooltip="DMC2710UVQ" display="DMC2710UVQ"/>
    <hyperlink ref="B84" r:id="rId_hyperlink_165" tooltip="https://www.diodes.com/datasheet/download/DMC2710UVT.pdf" display="https://www.diodes.com/datasheet/download/DMC2710UVT.pdf"/>
    <hyperlink ref="C84" r:id="rId_hyperlink_166" tooltip="DMC2710UVT" display="DMC2710UVT"/>
    <hyperlink ref="B85" r:id="rId_hyperlink_167" tooltip="https://www.diodes.com/datasheet/download/DMC2990UDJ.pdf" display="https://www.diodes.com/datasheet/download/DMC2990UDJ.pdf"/>
    <hyperlink ref="C85" r:id="rId_hyperlink_168" tooltip="DMC2990UDJ" display="DMC2990UDJ"/>
    <hyperlink ref="B86" r:id="rId_hyperlink_169" tooltip="https://www.diodes.com/datasheet/download/DMC2990UDJQ.pdf" display="https://www.diodes.com/datasheet/download/DMC2990UDJQ.pdf"/>
    <hyperlink ref="C86" r:id="rId_hyperlink_170" tooltip="DMC2990UDJQ" display="DMC2990UDJQ"/>
    <hyperlink ref="B87" r:id="rId_hyperlink_171" tooltip="https://www.diodes.com/datasheet/download/DMC2991UDA.pdf" display="https://www.diodes.com/datasheet/download/DMC2991UDA.pdf"/>
    <hyperlink ref="C87" r:id="rId_hyperlink_172" tooltip="DMC2991UDA" display="DMC2991UDA"/>
    <hyperlink ref="B88" r:id="rId_hyperlink_173" tooltip="https://www.diodes.com/datasheet/download/DMC2991UDJ.pdf" display="https://www.diodes.com/datasheet/download/DMC2991UDJ.pdf"/>
    <hyperlink ref="C88" r:id="rId_hyperlink_174" tooltip="DMC2991UDJ" display="DMC2991UDJ"/>
    <hyperlink ref="B89" r:id="rId_hyperlink_175" tooltip="https://www.diodes.com/datasheet/download/DMC2991UDR4.pdf" display="https://www.diodes.com/datasheet/download/DMC2991UDR4.pdf"/>
    <hyperlink ref="C89" r:id="rId_hyperlink_176" tooltip="DMC2991UDR4" display="DMC2991UDR4"/>
    <hyperlink ref="B90" r:id="rId_hyperlink_177" tooltip="https://www.diodes.com/datasheet/download/DMC3016LDV.pdf" display="https://www.diodes.com/datasheet/download/DMC3016LDV.pdf"/>
    <hyperlink ref="C90" r:id="rId_hyperlink_178" tooltip="DMC3016LDV" display="DMC3016LDV"/>
    <hyperlink ref="B91" r:id="rId_hyperlink_179" tooltip="https://www.diodes.com/datasheet/download/DMC3016LNS.pdf" display="https://www.diodes.com/datasheet/download/DMC3016LNS.pdf"/>
    <hyperlink ref="C91" r:id="rId_hyperlink_180" tooltip="DMC3016LNS" display="DMC3016LNS"/>
    <hyperlink ref="B92" r:id="rId_hyperlink_181" tooltip="https://www.diodes.com/datasheet/download/DMC3016LSD.pdf" display="https://www.diodes.com/datasheet/download/DMC3016LSD.pdf"/>
    <hyperlink ref="C92" r:id="rId_hyperlink_182" tooltip="DMC3016LSD" display="DMC3016LSD"/>
    <hyperlink ref="B93" r:id="rId_hyperlink_183" tooltip="https://www.diodes.com/datasheet/download/DMC3020UDVW.pdf" display="https://www.diodes.com/datasheet/download/DMC3020UDVW.pdf"/>
    <hyperlink ref="C93" r:id="rId_hyperlink_184" tooltip="DMC3020UDVW" display="DMC3020UDVW"/>
    <hyperlink ref="B94" r:id="rId_hyperlink_185" tooltip="https://www.diodes.com/datasheet/download/DMC3021LSD.pdf" display="https://www.diodes.com/datasheet/download/DMC3021LSD.pdf"/>
    <hyperlink ref="C94" r:id="rId_hyperlink_186" tooltip="DMC3021LSD" display="DMC3021LSD"/>
    <hyperlink ref="B95" r:id="rId_hyperlink_187" tooltip="https://www.diodes.com/datasheet/download/DMC3021LSDQ.pdf" display="https://www.diodes.com/datasheet/download/DMC3021LSDQ.pdf"/>
    <hyperlink ref="C95" r:id="rId_hyperlink_188" tooltip="DMC3021LSDQ" display="DMC3021LSDQ"/>
    <hyperlink ref="B96" r:id="rId_hyperlink_189" tooltip="https://www.diodes.com/datasheet/download/DMC3025LDV.pdf" display="https://www.diodes.com/datasheet/download/DMC3025LDV.pdf"/>
    <hyperlink ref="C96" r:id="rId_hyperlink_190" tooltip="DMC3025LDV" display="DMC3025LDV"/>
    <hyperlink ref="B97" r:id="rId_hyperlink_191" tooltip="https://www.diodes.com/datasheet/download/DMC3025LNS.pdf" display="https://www.diodes.com/datasheet/download/DMC3025LNS.pdf"/>
    <hyperlink ref="C97" r:id="rId_hyperlink_192" tooltip="DMC3025LNS" display="DMC3025LNS"/>
    <hyperlink ref="B98" r:id="rId_hyperlink_193" tooltip="https://www.diodes.com/datasheet/download/DMC3025LSD.pdf" display="https://www.diodes.com/datasheet/download/DMC3025LSD.pdf"/>
    <hyperlink ref="C98" r:id="rId_hyperlink_194" tooltip="DMC3025LSD" display="DMC3025LSD"/>
    <hyperlink ref="B99" r:id="rId_hyperlink_195" tooltip="https://www.diodes.com/datasheet/download/DMC3025LSDQ.pdf" display="https://www.diodes.com/datasheet/download/DMC3025LSDQ.pdf"/>
    <hyperlink ref="C99" r:id="rId_hyperlink_196" tooltip="DMC3025LSDQ" display="DMC3025LSDQ"/>
    <hyperlink ref="B100" r:id="rId_hyperlink_197" tooltip="https://www.diodes.com/datasheet/download/DMC3026LSD.pdf" display="https://www.diodes.com/datasheet/download/DMC3026LSD.pdf"/>
    <hyperlink ref="C100" r:id="rId_hyperlink_198" tooltip="DMC3026LSD" display="DMC3026LSD"/>
    <hyperlink ref="B101" r:id="rId_hyperlink_199" tooltip="https://www.diodes.com/datasheet/download/DMC3028LSD.pdf" display="https://www.diodes.com/datasheet/download/DMC3028LSD.pdf"/>
    <hyperlink ref="C101" r:id="rId_hyperlink_200" tooltip="DMC3028LSD" display="DMC3028LSD"/>
    <hyperlink ref="B102" r:id="rId_hyperlink_201" tooltip="https://www.diodes.com/datasheet/download/DMC3028LSDX.pdf" display="https://www.diodes.com/datasheet/download/DMC3028LSDX.pdf"/>
    <hyperlink ref="C102" r:id="rId_hyperlink_202" tooltip="DMC3028LSDX" display="DMC3028LSDX"/>
    <hyperlink ref="B103" r:id="rId_hyperlink_203" tooltip="https://www.diodes.com/datasheet/download/DMC3028LSDXQ.pdf" display="https://www.diodes.com/datasheet/download/DMC3028LSDXQ.pdf"/>
    <hyperlink ref="C103" r:id="rId_hyperlink_204" tooltip="DMC3028LSDXQ" display="DMC3028LSDXQ"/>
    <hyperlink ref="B104" r:id="rId_hyperlink_205" tooltip="https://www.diodes.com/datasheet/download/DMC3032LFDB.pdf" display="https://www.diodes.com/datasheet/download/DMC3032LFDB.pdf"/>
    <hyperlink ref="C104" r:id="rId_hyperlink_206" tooltip="DMC3032LFDB" display="DMC3032LFDB"/>
    <hyperlink ref="B105" r:id="rId_hyperlink_207" tooltip="https://www.diodes.com/datasheet/download/DMC3032LSD.pdf" display="https://www.diodes.com/datasheet/download/DMC3032LSD.pdf"/>
    <hyperlink ref="C105" r:id="rId_hyperlink_208" tooltip="DMC3032LSD" display="DMC3032LSD"/>
    <hyperlink ref="B106" r:id="rId_hyperlink_209" tooltip="https://www.diodes.com/datasheet/download/DMC3060LVT.pdf" display="https://www.diodes.com/datasheet/download/DMC3060LVT.pdf"/>
    <hyperlink ref="C106" r:id="rId_hyperlink_210" tooltip="DMC3060LVT" display="DMC3060LVT"/>
    <hyperlink ref="B107" r:id="rId_hyperlink_211" tooltip="https://www.diodes.com/datasheet/download/DMC3060LVTQ.pdf" display="https://www.diodes.com/datasheet/download/DMC3060LVTQ.pdf"/>
    <hyperlink ref="C107" r:id="rId_hyperlink_212" tooltip="DMC3060LVTQ" display="DMC3060LVTQ"/>
    <hyperlink ref="B108" r:id="rId_hyperlink_213" tooltip="https://www.diodes.com/datasheet/download/DMC3061SVTQ.pdf" display="https://www.diodes.com/datasheet/download/DMC3061SVTQ.pdf"/>
    <hyperlink ref="C108" r:id="rId_hyperlink_214" tooltip="DMC3061SVTQ" display="DMC3061SVTQ"/>
    <hyperlink ref="B109" r:id="rId_hyperlink_215" tooltip="https://www.diodes.com/datasheet/download/DMC3071LVT.pdf" display="https://www.diodes.com/datasheet/download/DMC3071LVT.pdf"/>
    <hyperlink ref="C109" r:id="rId_hyperlink_216" tooltip="DMC3071LVT" display="DMC3071LVT"/>
    <hyperlink ref="B110" r:id="rId_hyperlink_217" tooltip="https://www.diodes.com/datasheet/download/DMC31D5UDA.pdf" display="https://www.diodes.com/datasheet/download/DMC31D5UDA.pdf"/>
    <hyperlink ref="C110" r:id="rId_hyperlink_218" tooltip="DMC31D5UDA" display="DMC31D5UDA"/>
    <hyperlink ref="B111" r:id="rId_hyperlink_219" tooltip="https://www.diodes.com/datasheet/download/DMC31D5UDAQ.pdf" display="https://www.diodes.com/datasheet/download/DMC31D5UDAQ.pdf"/>
    <hyperlink ref="C111" r:id="rId_hyperlink_220" tooltip="DMC31D5UDAQ" display="DMC31D5UDAQ"/>
    <hyperlink ref="B112" r:id="rId_hyperlink_221" tooltip="https://www.diodes.com/datasheet/download/DMC31D5UDJ.pdf" display="https://www.diodes.com/datasheet/download/DMC31D5UDJ.pdf"/>
    <hyperlink ref="C112" r:id="rId_hyperlink_222" tooltip="DMC31D5UDJ" display="DMC31D5UDJ"/>
    <hyperlink ref="B113" r:id="rId_hyperlink_223" tooltip="https://www.diodes.com/datasheet/download/DMC3350LDW.pdf" display="https://www.diodes.com/datasheet/download/DMC3350LDW.pdf"/>
    <hyperlink ref="C113" r:id="rId_hyperlink_224" tooltip="DMC3350LDW" display="DMC3350LDW"/>
    <hyperlink ref="B114" r:id="rId_hyperlink_225" tooltip="https://www.diodes.com/datasheet/download/DMC3350LDWQ.pdf" display="https://www.diodes.com/datasheet/download/DMC3350LDWQ.pdf"/>
    <hyperlink ref="C114" r:id="rId_hyperlink_226" tooltip="DMC3350LDWQ" display="DMC3350LDWQ"/>
    <hyperlink ref="B115" r:id="rId_hyperlink_227" tooltip="https://www.diodes.com/datasheet/download/DMC3400SDW.pdf" display="https://www.diodes.com/datasheet/download/DMC3400SDW.pdf"/>
    <hyperlink ref="C115" r:id="rId_hyperlink_228" tooltip="DMC3400SDW" display="DMC3400SDW"/>
    <hyperlink ref="B116" r:id="rId_hyperlink_229" tooltip="https://www.diodes.com/datasheet/download/DMC3401LDW.pdf" display="https://www.diodes.com/datasheet/download/DMC3401LDW.pdf"/>
    <hyperlink ref="C116" r:id="rId_hyperlink_230" tooltip="DMC3401LDW" display="DMC3401LDW"/>
    <hyperlink ref="B117" r:id="rId_hyperlink_231" tooltip="https://www.diodes.com/datasheet/download/DMC3730UFL3.pdf" display="https://www.diodes.com/datasheet/download/DMC3730UFL3.pdf"/>
    <hyperlink ref="C117" r:id="rId_hyperlink_232" tooltip="DMC3730UFL3" display="DMC3730UFL3"/>
    <hyperlink ref="B118" r:id="rId_hyperlink_233" tooltip="https://www.diodes.com/datasheet/download/DMC3730UVT.pdf" display="https://www.diodes.com/datasheet/download/DMC3730UVT.pdf"/>
    <hyperlink ref="C118" r:id="rId_hyperlink_234" tooltip="DMC3730UVT" display="DMC3730UVT"/>
    <hyperlink ref="B119" r:id="rId_hyperlink_235" tooltip="https://www.diodes.com/datasheet/download/DMC3732UVT.pdf" display="https://www.diodes.com/datasheet/download/DMC3732UVT.pdf"/>
    <hyperlink ref="C119" r:id="rId_hyperlink_236" tooltip="DMC3732UVT" display="DMC3732UVT"/>
    <hyperlink ref="B120" r:id="rId_hyperlink_237" tooltip="https://www.diodes.com/datasheet/download/DMC3732UVTQ.pdf" display="https://www.diodes.com/datasheet/download/DMC3732UVTQ.pdf"/>
    <hyperlink ref="C120" r:id="rId_hyperlink_238" tooltip="DMC3732UVTQ" display="DMC3732UVTQ"/>
    <hyperlink ref="B121" r:id="rId_hyperlink_239" tooltip="https://www.diodes.com/datasheet/download/DMC4015SSD.pdf" display="https://www.diodes.com/datasheet/download/DMC4015SSD.pdf"/>
    <hyperlink ref="C121" r:id="rId_hyperlink_240" tooltip="DMC4015SSD" display="DMC4015SSD"/>
    <hyperlink ref="B122" r:id="rId_hyperlink_241" tooltip="https://www.diodes.com/datasheet/download/DMC4028SSD.pdf" display="https://www.diodes.com/datasheet/download/DMC4028SSD.pdf"/>
    <hyperlink ref="C122" r:id="rId_hyperlink_242" tooltip="DMC4028SSD" display="DMC4028SSD"/>
    <hyperlink ref="B123" r:id="rId_hyperlink_243" tooltip="https://www.diodes.com/datasheet/download/DMC4029SK4.pdf" display="https://www.diodes.com/datasheet/download/DMC4029SK4.pdf"/>
    <hyperlink ref="C123" r:id="rId_hyperlink_244" tooltip="DMC4029SK4" display="DMC4029SK4"/>
    <hyperlink ref="B124" r:id="rId_hyperlink_245" tooltip="https://www.diodes.com/datasheet/download/DMC4029SSD.pdf" display="https://www.diodes.com/datasheet/download/DMC4029SSD.pdf"/>
    <hyperlink ref="C124" r:id="rId_hyperlink_246" tooltip="DMC4029SSD" display="DMC4029SSD"/>
    <hyperlink ref="B125" r:id="rId_hyperlink_247" tooltip="https://www.diodes.com/datasheet/download/DMC4040SSDQ.pdf" display="https://www.diodes.com/datasheet/download/DMC4040SSDQ.pdf"/>
    <hyperlink ref="C125" r:id="rId_hyperlink_248" tooltip="DMC4040SSDQ" display="DMC4040SSDQ"/>
    <hyperlink ref="B126" r:id="rId_hyperlink_249" tooltip="https://www.diodes.com/datasheet/download/DMC4047LSD.pdf" display="https://www.diodes.com/datasheet/download/DMC4047LSD.pdf"/>
    <hyperlink ref="C126" r:id="rId_hyperlink_250" tooltip="DMC4047LSD" display="DMC4047LSD"/>
    <hyperlink ref="B127" r:id="rId_hyperlink_251" tooltip="https://www.diodes.com/datasheet/download/DMC4050SSDQ.pdf" display="https://www.diodes.com/datasheet/download/DMC4050SSDQ.pdf"/>
    <hyperlink ref="C127" r:id="rId_hyperlink_252" tooltip="DMC4050SSDQ" display="DMC4050SSDQ"/>
    <hyperlink ref="B128" r:id="rId_hyperlink_253" tooltip="https://www.diodes.com/datasheet/download/DMC6022SSD.pdf" display="https://www.diodes.com/datasheet/download/DMC6022SSD.pdf"/>
    <hyperlink ref="C128" r:id="rId_hyperlink_254" tooltip="DMC6022SSD" display="DMC6022SSD"/>
    <hyperlink ref="B129" r:id="rId_hyperlink_255" tooltip="https://www.diodes.com/datasheet/download/DMC6040SSD.pdf" display="https://www.diodes.com/datasheet/download/DMC6040SSD.pdf"/>
    <hyperlink ref="C129" r:id="rId_hyperlink_256" tooltip="DMC6040SSD" display="DMC6040SSD"/>
    <hyperlink ref="B130" r:id="rId_hyperlink_257" tooltip="https://www.diodes.com/datasheet/download/DMC6040SSDQ.pdf" display="https://www.diodes.com/datasheet/download/DMC6040SSDQ.pdf"/>
    <hyperlink ref="C130" r:id="rId_hyperlink_258" tooltip="DMC6040SSDQ" display="DMC6040SSDQ"/>
    <hyperlink ref="B131" r:id="rId_hyperlink_259" tooltip="https://www.diodes.com/datasheet/download/DMC6070LND.pdf" display="https://www.diodes.com/datasheet/download/DMC6070LND.pdf"/>
    <hyperlink ref="C131" r:id="rId_hyperlink_260" tooltip="DMC6070LND" display="DMC6070LND"/>
    <hyperlink ref="B132" r:id="rId_hyperlink_261" tooltip="https://www.diodes.com/datasheet/download/DMC62D0SVQ.pdf" display="https://www.diodes.com/datasheet/download/DMC62D0SVQ.pdf"/>
    <hyperlink ref="C132" r:id="rId_hyperlink_262" tooltip="DMC62D0SVQ" display="DMC62D0SVQ"/>
    <hyperlink ref="B133" r:id="rId_hyperlink_263" tooltip="https://www.diodes.com/datasheet/download/DMC62D2SV.pdf" display="https://www.diodes.com/datasheet/download/DMC62D2SV.pdf"/>
    <hyperlink ref="C133" r:id="rId_hyperlink_264" tooltip="DMC62D2SV" display="DMC62D2SV"/>
    <hyperlink ref="B134" r:id="rId_hyperlink_265" tooltip="https://www.diodes.com/datasheet/download/DMC62D2SVQ.pdf" display="https://www.diodes.com/datasheet/download/DMC62D2SVQ.pdf"/>
    <hyperlink ref="C134" r:id="rId_hyperlink_266" tooltip="DMC62D2SVQ" display="DMC62D2SVQ"/>
    <hyperlink ref="B135" r:id="rId_hyperlink_267" tooltip="https://www.diodes.com/datasheet/download/DMC67D8UFDBQ.pdf" display="https://www.diodes.com/datasheet/download/DMC67D8UFDBQ.pdf"/>
    <hyperlink ref="C135" r:id="rId_hyperlink_268" tooltip="DMC67D8UFDBQ" display="DMC67D8UFDBQ"/>
    <hyperlink ref="B136" r:id="rId_hyperlink_269" tooltip="https://www.diodes.com/datasheet/download/DMG1012T.pdf" display="https://www.diodes.com/datasheet/download/DMG1012T.pdf"/>
    <hyperlink ref="C136" r:id="rId_hyperlink_270" tooltip="DMG1012T" display="DMG1012T"/>
    <hyperlink ref="B137" r:id="rId_hyperlink_271" tooltip="https://www.diodes.com/datasheet/download/DMG1012UW.pdf" display="https://www.diodes.com/datasheet/download/DMG1012UW.pdf"/>
    <hyperlink ref="C137" r:id="rId_hyperlink_272" tooltip="DMG1012UW" display="DMG1012UW"/>
    <hyperlink ref="B138" r:id="rId_hyperlink_273" tooltip="https://www.diodes.com/datasheet/download/DMG1012UWQ.pdf" display="https://www.diodes.com/datasheet/download/DMG1012UWQ.pdf"/>
    <hyperlink ref="C138" r:id="rId_hyperlink_274" tooltip="DMG1012UWQ" display="DMG1012UWQ"/>
    <hyperlink ref="B139" r:id="rId_hyperlink_275" tooltip="https://www.diodes.com/datasheet/download/DMG1013T.pdf" display="https://www.diodes.com/datasheet/download/DMG1013T.pdf"/>
    <hyperlink ref="C139" r:id="rId_hyperlink_276" tooltip="DMG1013T" display="DMG1013T"/>
    <hyperlink ref="B140" r:id="rId_hyperlink_277" tooltip="https://www.diodes.com/datasheet/download/DMG1013TQ.pdf" display="https://www.diodes.com/datasheet/download/DMG1013TQ.pdf"/>
    <hyperlink ref="C140" r:id="rId_hyperlink_278" tooltip="DMG1013TQ" display="DMG1013TQ"/>
    <hyperlink ref="B141" r:id="rId_hyperlink_279" tooltip="https://www.diodes.com/datasheet/download/DMG1013UW.pdf" display="https://www.diodes.com/datasheet/download/DMG1013UW.pdf"/>
    <hyperlink ref="C141" r:id="rId_hyperlink_280" tooltip="DMG1013UW" display="DMG1013UW"/>
    <hyperlink ref="B142" r:id="rId_hyperlink_281" tooltip="https://www.diodes.com/datasheet/download/DMG1013UWQ.pdf" display="https://www.diodes.com/datasheet/download/DMG1013UWQ.pdf"/>
    <hyperlink ref="C142" r:id="rId_hyperlink_282" tooltip="DMG1013UWQ" display="DMG1013UWQ"/>
    <hyperlink ref="B143" r:id="rId_hyperlink_283" tooltip="https://www.diodes.com/datasheet/download/DMG1016UDW.pdf" display="https://www.diodes.com/datasheet/download/DMG1016UDW.pdf"/>
    <hyperlink ref="C143" r:id="rId_hyperlink_284" tooltip="DMG1016UDW" display="DMG1016UDW"/>
    <hyperlink ref="B144" r:id="rId_hyperlink_285" tooltip="https://www.diodes.com/datasheet/download/DMG1016V.pdf" display="https://www.diodes.com/datasheet/download/DMG1016V.pdf"/>
    <hyperlink ref="C144" r:id="rId_hyperlink_286" tooltip="DMG1016V" display="DMG1016V"/>
    <hyperlink ref="B145" r:id="rId_hyperlink_287" tooltip="https://www.diodes.com/datasheet/download/DMG1023UV.pdf" display="https://www.diodes.com/datasheet/download/DMG1023UV.pdf"/>
    <hyperlink ref="C145" r:id="rId_hyperlink_288" tooltip="DMG1023UV" display="DMG1023UV"/>
    <hyperlink ref="B146" r:id="rId_hyperlink_289" tooltip="https://www.diodes.com/datasheet/download/DMG1023UVQ.pdf" display="https://www.diodes.com/datasheet/download/DMG1023UVQ.pdf"/>
    <hyperlink ref="C146" r:id="rId_hyperlink_290" tooltip="DMG1023UVQ" display="DMG1023UVQ"/>
    <hyperlink ref="B147" r:id="rId_hyperlink_291" tooltip="https://www.diodes.com/datasheet/download/DMG1024UV.pdf" display="https://www.diodes.com/datasheet/download/DMG1024UV.pdf"/>
    <hyperlink ref="C147" r:id="rId_hyperlink_292" tooltip="DMG1024UV" display="DMG1024UV"/>
    <hyperlink ref="B148" r:id="rId_hyperlink_293" tooltip="https://www.diodes.com/datasheet/download/DMG1026UVQ.pdf" display="https://www.diodes.com/datasheet/download/DMG1026UVQ.pdf"/>
    <hyperlink ref="C148" r:id="rId_hyperlink_294" tooltip="DMG1026UVQ" display="DMG1026UVQ"/>
    <hyperlink ref="B149" r:id="rId_hyperlink_295" tooltip="https://www.diodes.com/datasheet/download/DMG1029SVQ.pdf" display="https://www.diodes.com/datasheet/download/DMG1029SVQ.pdf"/>
    <hyperlink ref="C149" r:id="rId_hyperlink_296" tooltip="DMG1029SVQ" display="DMG1029SVQ"/>
    <hyperlink ref="B150" r:id="rId_hyperlink_297" tooltip="https://www.diodes.com/datasheet/download/DMG2301L.pdf" display="https://www.diodes.com/datasheet/download/DMG2301L.pdf"/>
    <hyperlink ref="C150" r:id="rId_hyperlink_298" tooltip="DMG2301L" display="DMG2301L"/>
    <hyperlink ref="B151" r:id="rId_hyperlink_299" tooltip="https://www.diodes.com/datasheet/download/DMG2301LK.pdf" display="https://www.diodes.com/datasheet/download/DMG2301LK.pdf"/>
    <hyperlink ref="C151" r:id="rId_hyperlink_300" tooltip="DMG2301LK" display="DMG2301LK"/>
    <hyperlink ref="B152" r:id="rId_hyperlink_301" tooltip="https://www.diodes.com/datasheet/download/DMG2301U.pdf" display="https://www.diodes.com/datasheet/download/DMG2301U.pdf"/>
    <hyperlink ref="C152" r:id="rId_hyperlink_302" tooltip="DMG2301U" display="DMG2301U"/>
    <hyperlink ref="B153" r:id="rId_hyperlink_303" tooltip="https://www.diodes.com/datasheet/download/DMG2302UK.pdf" display="https://www.diodes.com/datasheet/download/DMG2302UK.pdf"/>
    <hyperlink ref="C153" r:id="rId_hyperlink_304" tooltip="DMG2302UK" display="DMG2302UK"/>
    <hyperlink ref="B154" r:id="rId_hyperlink_305" tooltip="https://www.diodes.com/datasheet/download/DMG2302UKQ.pdf" display="https://www.diodes.com/datasheet/download/DMG2302UKQ.pdf"/>
    <hyperlink ref="C154" r:id="rId_hyperlink_306" tooltip="DMG2302UKQ" display="DMG2302UKQ"/>
    <hyperlink ref="B155" r:id="rId_hyperlink_307" tooltip="https://www.diodes.com/datasheet/download/DMG2305UX.pdf" display="https://www.diodes.com/datasheet/download/DMG2305UX.pdf"/>
    <hyperlink ref="C155" r:id="rId_hyperlink_308" tooltip="DMG2305UX" display="DMG2305UX"/>
    <hyperlink ref="B156" r:id="rId_hyperlink_309" tooltip="https://www.diodes.com/datasheet/download/DMG2305UXQ.pdf" display="https://www.diodes.com/datasheet/download/DMG2305UXQ.pdf"/>
    <hyperlink ref="C156" r:id="rId_hyperlink_310" tooltip="DMG2305UXQ" display="DMG2305UXQ"/>
    <hyperlink ref="B157" r:id="rId_hyperlink_311" tooltip="https://www.diodes.com/datasheet/download/DMG301NU.pdf" display="https://www.diodes.com/datasheet/download/DMG301NU.pdf"/>
    <hyperlink ref="C157" r:id="rId_hyperlink_312" tooltip="DMG301NU" display="DMG301NU"/>
    <hyperlink ref="B158" r:id="rId_hyperlink_313" tooltip="https://www.diodes.com/datasheet/download/DMG302PU.pdf" display="https://www.diodes.com/datasheet/download/DMG302PU.pdf"/>
    <hyperlink ref="C158" r:id="rId_hyperlink_314" tooltip="DMG302PU" display="DMG302PU"/>
    <hyperlink ref="B159" r:id="rId_hyperlink_315" tooltip="https://www.diodes.com/datasheet/download/DMG3401LSN.pdf" display="https://www.diodes.com/datasheet/download/DMG3401LSN.pdf"/>
    <hyperlink ref="C159" r:id="rId_hyperlink_316" tooltip="DMG3401LSN" display="DMG3401LSN"/>
    <hyperlink ref="B160" r:id="rId_hyperlink_317" tooltip="https://www.diodes.com/datasheet/download/DMG3401LSNQ.pdf" display="https://www.diodes.com/datasheet/download/DMG3401LSNQ.pdf"/>
    <hyperlink ref="C160" r:id="rId_hyperlink_318" tooltip="DMG3401LSNQ" display="DMG3401LSNQ"/>
    <hyperlink ref="B161" r:id="rId_hyperlink_319" tooltip="https://www.diodes.com/datasheet/download/DMG3402L.pdf" display="https://www.diodes.com/datasheet/download/DMG3402L.pdf"/>
    <hyperlink ref="C161" r:id="rId_hyperlink_320" tooltip="DMG3402L" display="DMG3402L"/>
    <hyperlink ref="B162" r:id="rId_hyperlink_321" tooltip="https://www.diodes.com/datasheet/download/DMG3402LQ.pdf" display="https://www.diodes.com/datasheet/download/DMG3402LQ.pdf"/>
    <hyperlink ref="C162" r:id="rId_hyperlink_322" tooltip="DMG3402LQ" display="DMG3402LQ"/>
    <hyperlink ref="B163" r:id="rId_hyperlink_323" tooltip="https://www.diodes.com/datasheet/download/DMG3404L.pdf" display="https://www.diodes.com/datasheet/download/DMG3404L.pdf"/>
    <hyperlink ref="C163" r:id="rId_hyperlink_324" tooltip="DMG3404L" display="DMG3404L"/>
    <hyperlink ref="B164" r:id="rId_hyperlink_325" tooltip="https://www.diodes.com/datasheet/download/DMG3406L.pdf" display="https://www.diodes.com/datasheet/download/DMG3406L.pdf"/>
    <hyperlink ref="C164" r:id="rId_hyperlink_326" tooltip="DMG3406L" display="DMG3406L"/>
    <hyperlink ref="B165" r:id="rId_hyperlink_327" tooltip="https://www.diodes.com/datasheet/download/DMG3407SSN.pdf" display="https://www.diodes.com/datasheet/download/DMG3407SSN.pdf"/>
    <hyperlink ref="C165" r:id="rId_hyperlink_328" tooltip="DMG3407SSN" display="DMG3407SSN"/>
    <hyperlink ref="B166" r:id="rId_hyperlink_329" tooltip="https://www.diodes.com/datasheet/download/DMG3413L.pdf" display="https://www.diodes.com/datasheet/download/DMG3413L.pdf"/>
    <hyperlink ref="C166" r:id="rId_hyperlink_330" tooltip="DMG3413L" display="DMG3413L"/>
    <hyperlink ref="B167" r:id="rId_hyperlink_331" tooltip="https://www.diodes.com/datasheet/download/DMG3414U.pdf" display="https://www.diodes.com/datasheet/download/DMG3414U.pdf"/>
    <hyperlink ref="C167" r:id="rId_hyperlink_332" tooltip="DMG3414U" display="DMG3414U"/>
    <hyperlink ref="B168" r:id="rId_hyperlink_333" tooltip="https://www.diodes.com/datasheet/download/DMG3414UQ.pdf" display="https://www.diodes.com/datasheet/download/DMG3414UQ.pdf"/>
    <hyperlink ref="C168" r:id="rId_hyperlink_334" tooltip="DMG3414UQ" display="DMG3414UQ"/>
    <hyperlink ref="B169" r:id="rId_hyperlink_335" tooltip="https://www.diodes.com/datasheet/download/DMG3415UFY4Q.pdf" display="https://www.diodes.com/datasheet/download/DMG3415UFY4Q.pdf"/>
    <hyperlink ref="C169" r:id="rId_hyperlink_336" tooltip="DMG3415UFY4Q" display="DMG3415UFY4Q"/>
    <hyperlink ref="B170" r:id="rId_hyperlink_337" tooltip="https://www.diodes.com/datasheet/download/DMG3418L.pdf" display="https://www.diodes.com/datasheet/download/DMG3418L.pdf"/>
    <hyperlink ref="C170" r:id="rId_hyperlink_338" tooltip="DMG3418L" display="DMG3418L"/>
    <hyperlink ref="B171" r:id="rId_hyperlink_339" tooltip="https://www.diodes.com/datasheet/download/DMG3420UQ+.pdf" display="https://www.diodes.com/datasheet/download/DMG3420UQ+.pdf"/>
    <hyperlink ref="C171" r:id="rId_hyperlink_340" tooltip="DMG3420UQ" display="DMG3420UQ"/>
    <hyperlink ref="B172" r:id="rId_hyperlink_341" tooltip="https://www.diodes.com/datasheet/download/DMG4466SSS.pdf" display="https://www.diodes.com/datasheet/download/DMG4466SSS.pdf"/>
    <hyperlink ref="C172" r:id="rId_hyperlink_342" tooltip="DMG4466SSS" display="DMG4466SSS"/>
    <hyperlink ref="B173" r:id="rId_hyperlink_343" tooltip="https://www.diodes.com/datasheet/download/DMG4466SSSL.pdf" display="https://www.diodes.com/datasheet/download/DMG4466SSSL.pdf"/>
    <hyperlink ref="C173" r:id="rId_hyperlink_344" tooltip="DMG4466SSSL" display="DMG4466SSSL"/>
    <hyperlink ref="B174" r:id="rId_hyperlink_345" tooltip="https://www.diodes.com/datasheet/download/DMG4468LFG.pdf" display="https://www.diodes.com/datasheet/download/DMG4468LFG.pdf"/>
    <hyperlink ref="C174" r:id="rId_hyperlink_346" tooltip="DMG4468LFG" display="DMG4468LFG"/>
    <hyperlink ref="B175" r:id="rId_hyperlink_347" tooltip="https://www.diodes.com/datasheet/download/DMG4468LK3.pdf" display="https://www.diodes.com/datasheet/download/DMG4468LK3.pdf"/>
    <hyperlink ref="C175" r:id="rId_hyperlink_348" tooltip="DMG4468LK3" display="DMG4468LK3"/>
    <hyperlink ref="B176" r:id="rId_hyperlink_349" tooltip="https://www.diodes.com/datasheet/download/DMG4496SSS.pdf" display="https://www.diodes.com/datasheet/download/DMG4496SSS.pdf"/>
    <hyperlink ref="C176" r:id="rId_hyperlink_350" tooltip="DMG4496SSS" display="DMG4496SSS"/>
    <hyperlink ref="B177" r:id="rId_hyperlink_351" tooltip="https://www.diodes.com/datasheet/download/DMG4511SK4.pdf" display="https://www.diodes.com/datasheet/download/DMG4511SK4.pdf"/>
    <hyperlink ref="C177" r:id="rId_hyperlink_352" tooltip="DMG4511SK4" display="DMG4511SK4"/>
    <hyperlink ref="B178" r:id="rId_hyperlink_353" tooltip="https://www.diodes.com/datasheet/download/DMG4800LFG.pdf" display="https://www.diodes.com/datasheet/download/DMG4800LFG.pdf"/>
    <hyperlink ref="C178" r:id="rId_hyperlink_354" tooltip="DMG4800LFG" display="DMG4800LFG"/>
    <hyperlink ref="B179" r:id="rId_hyperlink_355" tooltip="https://www.diodes.com/datasheet/download/DMG4800LK3.pdf" display="https://www.diodes.com/datasheet/download/DMG4800LK3.pdf"/>
    <hyperlink ref="C179" r:id="rId_hyperlink_356" tooltip="DMG4800LK3" display="DMG4800LK3"/>
    <hyperlink ref="B180" r:id="rId_hyperlink_357" tooltip="https://www.diodes.com/datasheet/download/DMG4800LSD.pdf" display="https://www.diodes.com/datasheet/download/DMG4800LSD.pdf"/>
    <hyperlink ref="C180" r:id="rId_hyperlink_358" tooltip="DMG4800LSD" display="DMG4800LSD"/>
    <hyperlink ref="B181" r:id="rId_hyperlink_359" tooltip="https://www.diodes.com/datasheet/download/DMG4822SSD.pdf" display="https://www.diodes.com/datasheet/download/DMG4822SSD.pdf"/>
    <hyperlink ref="C181" r:id="rId_hyperlink_360" tooltip="DMG4822SSD" display="DMG4822SSD"/>
    <hyperlink ref="B182" r:id="rId_hyperlink_361" tooltip="https://www.diodes.com/datasheet/download/DMG5802LFX.pdf" display="https://www.diodes.com/datasheet/download/DMG5802LFX.pdf"/>
    <hyperlink ref="C182" r:id="rId_hyperlink_362" tooltip="DMG5802LFX" display="DMG5802LFX"/>
    <hyperlink ref="B183" r:id="rId_hyperlink_363" tooltip="https://www.diodes.com/datasheet/download/DMG6301UDW.pdf" display="https://www.diodes.com/datasheet/download/DMG6301UDW.pdf"/>
    <hyperlink ref="C183" r:id="rId_hyperlink_364" tooltip="DMG6301UDW" display="DMG6301UDW"/>
    <hyperlink ref="B184" r:id="rId_hyperlink_365" tooltip="https://www.diodes.com/datasheet/download/DMG6302UDW.pdf" display="https://www.diodes.com/datasheet/download/DMG6302UDW.pdf"/>
    <hyperlink ref="C184" r:id="rId_hyperlink_366" tooltip="DMG6302UDW" display="DMG6302UDW"/>
    <hyperlink ref="B185" r:id="rId_hyperlink_367" tooltip="https://www.diodes.com/datasheet/download/DMG6402LVT.pdf" display="https://www.diodes.com/datasheet/download/DMG6402LVT.pdf"/>
    <hyperlink ref="C185" r:id="rId_hyperlink_368" tooltip="DMG6402LVT" display="DMG6402LVT"/>
    <hyperlink ref="B186" r:id="rId_hyperlink_369" tooltip="https://www.diodes.com/datasheet/download/DMG6601LVT.pdf" display="https://www.diodes.com/datasheet/download/DMG6601LVT.pdf"/>
    <hyperlink ref="C186" r:id="rId_hyperlink_370" tooltip="DMG6601LVT" display="DMG6601LVT"/>
    <hyperlink ref="B187" r:id="rId_hyperlink_371" tooltip="https://www.diodes.com/datasheet/download/DMG6898LSD.pdf" display="https://www.diodes.com/datasheet/download/DMG6898LSD.pdf"/>
    <hyperlink ref="C187" r:id="rId_hyperlink_372" tooltip="DMG6898LSD" display="DMG6898LSD"/>
    <hyperlink ref="B188" r:id="rId_hyperlink_373" tooltip="https://www.diodes.com/datasheet/download/DMG6968UDM.pdf" display="https://www.diodes.com/datasheet/download/DMG6968UDM.pdf"/>
    <hyperlink ref="C188" r:id="rId_hyperlink_374" tooltip="DMG6968UDM" display="DMG6968UDM"/>
    <hyperlink ref="B189" r:id="rId_hyperlink_375" tooltip="https://www.diodes.com/datasheet/download/DMG6968UTS.pdf" display="https://www.diodes.com/datasheet/download/DMG6968UTS.pdf"/>
    <hyperlink ref="C189" r:id="rId_hyperlink_376" tooltip="DMG6968UTS" display="DMG6968UTS"/>
    <hyperlink ref="B190" r:id="rId_hyperlink_377" tooltip="https://www.diodes.com/datasheet/download/DMG7410SFG.pdf" display="https://www.diodes.com/datasheet/download/DMG7410SFG.pdf"/>
    <hyperlink ref="C190" r:id="rId_hyperlink_378" tooltip="DMG7410SFG" display="DMG7410SFG"/>
    <hyperlink ref="B191" r:id="rId_hyperlink_379" tooltip="https://www.diodes.com/datasheet/download/DMG7430LFG.pdf" display="https://www.diodes.com/datasheet/download/DMG7430LFG.pdf"/>
    <hyperlink ref="C191" r:id="rId_hyperlink_380" tooltip="DMG7430LFG" display="DMG7430LFG"/>
    <hyperlink ref="B192" r:id="rId_hyperlink_381" tooltip="https://www.diodes.com/datasheet/download/DMG7430LFGQ.pdf" display="https://www.diodes.com/datasheet/download/DMG7430LFGQ.pdf"/>
    <hyperlink ref="C192" r:id="rId_hyperlink_382" tooltip="DMG7430LFGQ" display="DMG7430LFGQ"/>
    <hyperlink ref="B193" r:id="rId_hyperlink_383" tooltip="https://www.diodes.com/datasheet/download/DMG8601UFG.pdf" display="https://www.diodes.com/datasheet/download/DMG8601UFG.pdf"/>
    <hyperlink ref="C193" r:id="rId_hyperlink_384" tooltip="DMG8601UFG" display="DMG8601UFG"/>
    <hyperlink ref="B194" r:id="rId_hyperlink_385" tooltip="https://www.diodes.com/datasheet/download/DMG8822UTS.pdf" display="https://www.diodes.com/datasheet/download/DMG8822UTS.pdf"/>
    <hyperlink ref="C194" r:id="rId_hyperlink_386" tooltip="DMG8822UTS" display="DMG8822UTS"/>
    <hyperlink ref="B195" r:id="rId_hyperlink_387" tooltip="https://www.diodes.com/datasheet/download/DMG8880LK3.pdf" display="https://www.diodes.com/datasheet/download/DMG8880LK3.pdf"/>
    <hyperlink ref="C195" r:id="rId_hyperlink_388" tooltip="DMG8880LK3" display="DMG8880LK3"/>
    <hyperlink ref="B196" r:id="rId_hyperlink_389" tooltip="https://www.diodes.com/datasheet/download/DMG9926UDM.pdf" display="https://www.diodes.com/datasheet/download/DMG9926UDM.pdf"/>
    <hyperlink ref="C196" r:id="rId_hyperlink_390" tooltip="DMG9926UDM" display="DMG9926UDM"/>
    <hyperlink ref="B197" r:id="rId_hyperlink_391" tooltip="https://www.diodes.com/datasheet/download/DMG9926USD.pdf" display="https://www.diodes.com/datasheet/download/DMG9926USD.pdf"/>
    <hyperlink ref="C197" r:id="rId_hyperlink_392" tooltip="DMG9926USD" display="DMG9926USD"/>
    <hyperlink ref="B198" r:id="rId_hyperlink_393" tooltip="https://www.diodes.com/datasheet/download/DMG9933USD.pdf" display="https://www.diodes.com/datasheet/download/DMG9933USD.pdf"/>
    <hyperlink ref="C198" r:id="rId_hyperlink_394" tooltip="DMG9933USD" display="DMG9933USD"/>
    <hyperlink ref="B199" r:id="rId_hyperlink_395" tooltip="https://www.diodes.com/datasheet/download/DMGD7N45SSD.pdf" display="https://www.diodes.com/datasheet/download/DMGD7N45SSD.pdf"/>
    <hyperlink ref="C199" r:id="rId_hyperlink_396" tooltip="DMGD7N45SSD" display="DMGD7N45SSD"/>
    <hyperlink ref="B200" r:id="rId_hyperlink_397" tooltip="https://www.diodes.com/datasheet/download/DMHC10H170SFJ.pdf" display="https://www.diodes.com/datasheet/download/DMHC10H170SFJ.pdf"/>
    <hyperlink ref="C200" r:id="rId_hyperlink_398" tooltip="DMHC10H170SFJ" display="DMHC10H170SFJ"/>
    <hyperlink ref="B201" r:id="rId_hyperlink_399" tooltip="https://www.diodes.com/datasheet/download/DMHC3025LSD.pdf" display="https://www.diodes.com/datasheet/download/DMHC3025LSD.pdf"/>
    <hyperlink ref="C201" r:id="rId_hyperlink_400" tooltip="DMHC3025LSD" display="DMHC3025LSD"/>
    <hyperlink ref="B202" r:id="rId_hyperlink_401" tooltip="https://www.diodes.com/datasheet/download/DMHC3025LSDQ.pdf" display="https://www.diodes.com/datasheet/download/DMHC3025LSDQ.pdf"/>
    <hyperlink ref="C202" r:id="rId_hyperlink_402" tooltip="DMHC3025LSDQ" display="DMHC3025LSDQ"/>
    <hyperlink ref="B203" r:id="rId_hyperlink_403" tooltip="https://www.diodes.com/datasheet/download/DMHC4035LSD.pdf" display="https://www.diodes.com/datasheet/download/DMHC4035LSD.pdf"/>
    <hyperlink ref="C203" r:id="rId_hyperlink_404" tooltip="DMHC4035LSD" display="DMHC4035LSD"/>
    <hyperlink ref="B204" r:id="rId_hyperlink_405" tooltip="https://www.diodes.com/datasheet/download/DMHC4035LSDQ.pdf" display="https://www.diodes.com/datasheet/download/DMHC4035LSDQ.pdf"/>
    <hyperlink ref="C204" r:id="rId_hyperlink_406" tooltip="DMHC4035LSDQ" display="DMHC4035LSDQ"/>
    <hyperlink ref="B205" r:id="rId_hyperlink_407" tooltip="https://www.diodes.com/datasheet/download/DMHC6070LSD.pdf" display="https://www.diodes.com/datasheet/download/DMHC6070LSD.pdf"/>
    <hyperlink ref="C205" r:id="rId_hyperlink_408" tooltip="DMHC6070LSD" display="DMHC6070LSD"/>
    <hyperlink ref="B206" r:id="rId_hyperlink_409" tooltip="https://www.diodes.com/datasheet/download/DMHT10H032LFJ.pdf" display="https://www.diodes.com/datasheet/download/DMHT10H032LFJ.pdf"/>
    <hyperlink ref="C206" r:id="rId_hyperlink_410" tooltip="DMHT10H032LFJ" display="DMHT10H032LFJ"/>
    <hyperlink ref="B207" r:id="rId_hyperlink_411" tooltip="https://www.diodes.com/datasheet/download/DMHT3006LFJ.pdf" display="https://www.diodes.com/datasheet/download/DMHT3006LFJ.pdf"/>
    <hyperlink ref="C207" r:id="rId_hyperlink_412" tooltip="DMHT3006LFJ" display="DMHT3006LFJ"/>
    <hyperlink ref="B208" r:id="rId_hyperlink_413" tooltip="https://www.diodes.com/datasheet/download/DMHT6016LFJ.pdf" display="https://www.diodes.com/datasheet/download/DMHT6016LFJ.pdf"/>
    <hyperlink ref="C208" r:id="rId_hyperlink_414" tooltip="DMHT6016LFJ" display="DMHT6016LFJ"/>
    <hyperlink ref="B209" r:id="rId_hyperlink_415" tooltip="https://www.diodes.com/datasheet/download/DMN1001UCA10.pdf" display="https://www.diodes.com/datasheet/download/DMN1001UCA10.pdf"/>
    <hyperlink ref="C209" r:id="rId_hyperlink_416" tooltip="DMN1001UCA10" display="DMN1001UCA10"/>
    <hyperlink ref="B210" r:id="rId_hyperlink_417" tooltip="https://www.diodes.com/datasheet/download/DMN1002UCA6.pdf" display="https://www.diodes.com/datasheet/download/DMN1002UCA6.pdf"/>
    <hyperlink ref="C210" r:id="rId_hyperlink_418" tooltip="DMN1002UCA6" display="DMN1002UCA6"/>
    <hyperlink ref="B211" r:id="rId_hyperlink_419" tooltip="https://www.diodes.com/datasheet/download/DMN1003UCA6.pdf" display="https://www.diodes.com/datasheet/download/DMN1003UCA6.pdf"/>
    <hyperlink ref="C211" r:id="rId_hyperlink_420" tooltip="DMN1003UCA6" display="DMN1003UCA6"/>
    <hyperlink ref="B212" r:id="rId_hyperlink_421" tooltip="https://www.diodes.com/datasheet/download/DMN1003UFDE.pdf" display="https://www.diodes.com/datasheet/download/DMN1003UFDE.pdf"/>
    <hyperlink ref="C212" r:id="rId_hyperlink_422" tooltip="DMN1003UFDE" display="DMN1003UFDE"/>
    <hyperlink ref="B213" r:id="rId_hyperlink_423" tooltip="https://www.diodes.com/datasheet/download/DMN1004UFDF.pdf" display="https://www.diodes.com/datasheet/download/DMN1004UFDF.pdf"/>
    <hyperlink ref="C213" r:id="rId_hyperlink_424" tooltip="DMN1004UFDF" display="DMN1004UFDF"/>
    <hyperlink ref="B214" r:id="rId_hyperlink_425" tooltip="https://www.diodes.com/datasheet/download/DMN1004UFV.pdf" display="https://www.diodes.com/datasheet/download/DMN1004UFV.pdf"/>
    <hyperlink ref="C214" r:id="rId_hyperlink_426" tooltip="DMN1004UFV" display="DMN1004UFV"/>
    <hyperlink ref="B215" r:id="rId_hyperlink_427" tooltip="https://www.diodes.com/datasheet/download/DMN1005UFDF.pdf" display="https://www.diodes.com/datasheet/download/DMN1005UFDF.pdf"/>
    <hyperlink ref="C215" r:id="rId_hyperlink_428" tooltip="DMN1005UFDF" display="DMN1005UFDF"/>
    <hyperlink ref="B216" r:id="rId_hyperlink_429" tooltip="https://www.diodes.com/datasheet/download/DMN1006UCA6.pdf" display="https://www.diodes.com/datasheet/download/DMN1006UCA6.pdf"/>
    <hyperlink ref="C216" r:id="rId_hyperlink_430" tooltip="DMN1006UCA6" display="DMN1006UCA6"/>
    <hyperlink ref="B217" r:id="rId_hyperlink_431" tooltip="https://www.diodes.com/datasheet/download/DMN1008UFDF.pdf" display="https://www.diodes.com/datasheet/download/DMN1008UFDF.pdf"/>
    <hyperlink ref="C217" r:id="rId_hyperlink_432" tooltip="DMN1008UFDF" display="DMN1008UFDF"/>
    <hyperlink ref="B218" r:id="rId_hyperlink_433" tooltip="https://www.diodes.com/datasheet/download/DMN1008UFDFQ.pdf" display="https://www.diodes.com/datasheet/download/DMN1008UFDFQ.pdf"/>
    <hyperlink ref="C218" r:id="rId_hyperlink_434" tooltip="DMN1008UFDFQ" display="DMN1008UFDFQ"/>
    <hyperlink ref="B219" r:id="rId_hyperlink_435" tooltip="https://www.diodes.com/datasheet/download/DMN1014UFDF.pdf" display="https://www.diodes.com/datasheet/download/DMN1014UFDF.pdf"/>
    <hyperlink ref="C219" r:id="rId_hyperlink_436" tooltip="DMN1014UFDF" display="DMN1014UFDF"/>
    <hyperlink ref="B220" r:id="rId_hyperlink_437" tooltip="https://www.diodes.com/datasheet/download/DMN1017UCP3.pdf" display="https://www.diodes.com/datasheet/download/DMN1017UCP3.pdf"/>
    <hyperlink ref="C220" r:id="rId_hyperlink_438" tooltip="DMN1017UCP3" display="DMN1017UCP3"/>
    <hyperlink ref="B221" r:id="rId_hyperlink_439" tooltip="https://www.diodes.com/datasheet/download/DMN1019UFDE.pdf" display="https://www.diodes.com/datasheet/download/DMN1019UFDE.pdf"/>
    <hyperlink ref="C221" r:id="rId_hyperlink_440" tooltip="DMN1019UFDE" display="DMN1019UFDE"/>
    <hyperlink ref="B222" r:id="rId_hyperlink_441" tooltip="https://www.diodes.com/datasheet/download/DMN1019USN.pdf" display="https://www.diodes.com/datasheet/download/DMN1019USN.pdf"/>
    <hyperlink ref="C222" r:id="rId_hyperlink_442" tooltip="DMN1019USN" display="DMN1019USN"/>
    <hyperlink ref="B223" r:id="rId_hyperlink_443" tooltip="https://www.diodes.com/datasheet/download/DMN1019USNQ.pdf" display="https://www.diodes.com/datasheet/download/DMN1019USNQ.pdf"/>
    <hyperlink ref="C223" r:id="rId_hyperlink_444" tooltip="DMN1019USNQ" display="DMN1019USNQ"/>
    <hyperlink ref="B224" r:id="rId_hyperlink_445" tooltip="https://www.diodes.com/datasheet/download/DMN1019UVT.pdf" display="https://www.diodes.com/datasheet/download/DMN1019UVT.pdf"/>
    <hyperlink ref="C224" r:id="rId_hyperlink_446" tooltip="DMN1019UVT" display="DMN1019UVT"/>
    <hyperlink ref="B225" r:id="rId_hyperlink_447" tooltip="https://www.diodes.com/datasheet/download/DMN1021UCA4.pdf" display="https://www.diodes.com/datasheet/download/DMN1021UCA4.pdf"/>
    <hyperlink ref="C225" r:id="rId_hyperlink_448" tooltip="DMN1021UCA4" display="DMN1021UCA4"/>
    <hyperlink ref="B226" r:id="rId_hyperlink_449" tooltip="https://www.diodes.com/datasheet/download/DMN1025UFDB.pdf" display="https://www.diodes.com/datasheet/download/DMN1025UFDB.pdf"/>
    <hyperlink ref="C226" r:id="rId_hyperlink_450" tooltip="DMN1025UFDB" display="DMN1025UFDB"/>
    <hyperlink ref="B227" r:id="rId_hyperlink_451" tooltip="https://www.diodes.com/datasheet/download/DMN1029UFDB.pdf" display="https://www.diodes.com/datasheet/download/DMN1029UFDB.pdf"/>
    <hyperlink ref="C227" r:id="rId_hyperlink_452" tooltip="DMN1029UFDB" display="DMN1029UFDB"/>
    <hyperlink ref="B228" r:id="rId_hyperlink_453" tooltip="https://www.diodes.com/datasheet/download/DMN1032UCP4.pdf" display="https://www.diodes.com/datasheet/download/DMN1032UCP4.pdf"/>
    <hyperlink ref="C228" r:id="rId_hyperlink_454" tooltip="DMN1032UCP4" display="DMN1032UCP4"/>
    <hyperlink ref="B229" r:id="rId_hyperlink_455" tooltip="https://www.diodes.com/datasheet/download/DMN1045UFR4.pdf" display="https://www.diodes.com/datasheet/download/DMN1045UFR4.pdf"/>
    <hyperlink ref="C229" r:id="rId_hyperlink_456" tooltip="DMN1045UFR4" display="DMN1045UFR4"/>
    <hyperlink ref="B230" r:id="rId_hyperlink_457" tooltip="https://www.diodes.com/datasheet/download/DMN1053UCP4.pdf" display="https://www.diodes.com/datasheet/download/DMN1053UCP4.pdf"/>
    <hyperlink ref="C230" r:id="rId_hyperlink_458" tooltip="DMN1053UCP4" display="DMN1053UCP4"/>
    <hyperlink ref="B231" r:id="rId_hyperlink_459" tooltip="https://www.diodes.com/datasheet/download/DMN1054UCB4.pdf" display="https://www.diodes.com/datasheet/download/DMN1054UCB4.pdf"/>
    <hyperlink ref="C231" r:id="rId_hyperlink_460" tooltip="DMN1054UCB4" display="DMN1054UCB4"/>
    <hyperlink ref="B232" r:id="rId_hyperlink_461" tooltip="https://www.diodes.com/datasheet/download/DMN10H099SFG.pdf" display="https://www.diodes.com/datasheet/download/DMN10H099SFG.pdf"/>
    <hyperlink ref="C232" r:id="rId_hyperlink_462" tooltip="DMN10H099SFG" display="DMN10H099SFG"/>
    <hyperlink ref="B233" r:id="rId_hyperlink_463" tooltip="https://www.diodes.com/datasheet/download/DMN10H099SK3.pdf" display="https://www.diodes.com/datasheet/download/DMN10H099SK3.pdf"/>
    <hyperlink ref="C233" r:id="rId_hyperlink_464" tooltip="DMN10H099SK3" display="DMN10H099SK3"/>
    <hyperlink ref="B234" r:id="rId_hyperlink_465" tooltip="https://www.diodes.com/datasheet/download/DMN10H100SK3.pdf" display="https://www.diodes.com/datasheet/download/DMN10H100SK3.pdf"/>
    <hyperlink ref="C234" r:id="rId_hyperlink_466" tooltip="DMN10H100SK3" display="DMN10H100SK3"/>
    <hyperlink ref="B235" r:id="rId_hyperlink_467" tooltip="https://www.diodes.com/datasheet/download/DMN10H120SE.pdf" display="https://www.diodes.com/datasheet/download/DMN10H120SE.pdf"/>
    <hyperlink ref="C235" r:id="rId_hyperlink_468" tooltip="DMN10H120SE" display="DMN10H120SE"/>
    <hyperlink ref="B236" r:id="rId_hyperlink_469" tooltip="https://www.diodes.com/datasheet/download/DMN10H120SFG.pdf" display="https://www.diodes.com/datasheet/download/DMN10H120SFG.pdf"/>
    <hyperlink ref="C236" r:id="rId_hyperlink_470" tooltip="DMN10H120SFG" display="DMN10H120SFG"/>
    <hyperlink ref="B237" r:id="rId_hyperlink_471" tooltip="https://www.diodes.com/datasheet/download/DMN10H170SFDE.pdf" display="https://www.diodes.com/datasheet/download/DMN10H170SFDE.pdf"/>
    <hyperlink ref="C237" r:id="rId_hyperlink_472" tooltip="DMN10H170SFDE" display="DMN10H170SFDE"/>
    <hyperlink ref="B238" r:id="rId_hyperlink_473" tooltip="https://www.diodes.com/datasheet/download/DMN10H170SFG.pdf" display="https://www.diodes.com/datasheet/download/DMN10H170SFG.pdf"/>
    <hyperlink ref="C238" r:id="rId_hyperlink_474" tooltip="DMN10H170SFG" display="DMN10H170SFG"/>
    <hyperlink ref="B239" r:id="rId_hyperlink_475" tooltip="https://www.diodes.com/datasheet/download/DMN10H170SFGQ.pdf" display="https://www.diodes.com/datasheet/download/DMN10H170SFGQ.pdf"/>
    <hyperlink ref="C239" r:id="rId_hyperlink_476" tooltip="DMN10H170SFGQ" display="DMN10H170SFGQ"/>
    <hyperlink ref="B240" r:id="rId_hyperlink_477" tooltip="https://www.diodes.com/datasheet/download/DMN10H170SK3.pdf" display="https://www.diodes.com/datasheet/download/DMN10H170SK3.pdf"/>
    <hyperlink ref="C240" r:id="rId_hyperlink_478" tooltip="DMN10H170SK3" display="DMN10H170SK3"/>
    <hyperlink ref="B241" r:id="rId_hyperlink_479" tooltip="https://www.diodes.com/datasheet/download/DMN10H170SK3Q.pdf" display="https://www.diodes.com/datasheet/download/DMN10H170SK3Q.pdf"/>
    <hyperlink ref="C241" r:id="rId_hyperlink_480" tooltip="DMN10H170SK3Q" display="DMN10H170SK3Q"/>
    <hyperlink ref="B242" r:id="rId_hyperlink_481" tooltip="https://www.diodes.com/datasheet/download/DMN10H170SVT.pdf" display="https://www.diodes.com/datasheet/download/DMN10H170SVT.pdf"/>
    <hyperlink ref="C242" r:id="rId_hyperlink_482" tooltip="DMN10H170SVT" display="DMN10H170SVT"/>
    <hyperlink ref="B243" r:id="rId_hyperlink_483" tooltip="https://www.diodes.com/datasheet/download/DMN10H170SVTQ.pdf" display="https://www.diodes.com/datasheet/download/DMN10H170SVTQ.pdf"/>
    <hyperlink ref="C243" r:id="rId_hyperlink_484" tooltip="DMN10H170SVTQ" display="DMN10H170SVTQ"/>
    <hyperlink ref="B244" r:id="rId_hyperlink_485" tooltip="https://www.diodes.com/datasheet/download/DMN10H220L.pdf" display="https://www.diodes.com/datasheet/download/DMN10H220L.pdf"/>
    <hyperlink ref="C244" r:id="rId_hyperlink_486" tooltip="DMN10H220L" display="DMN10H220L"/>
    <hyperlink ref="B245" r:id="rId_hyperlink_487" tooltip="https://www.diodes.com/datasheet/download/DMN10H220LDV.pdf" display="https://www.diodes.com/datasheet/download/DMN10H220LDV.pdf"/>
    <hyperlink ref="C245" r:id="rId_hyperlink_488" tooltip="DMN10H220LDV" display="DMN10H220LDV"/>
    <hyperlink ref="B246" r:id="rId_hyperlink_489" tooltip="https://www.diodes.com/datasheet/download/DMN10H220LE.pdf" display="https://www.diodes.com/datasheet/download/DMN10H220LE.pdf"/>
    <hyperlink ref="C246" r:id="rId_hyperlink_490" tooltip="DMN10H220LE" display="DMN10H220LE"/>
    <hyperlink ref="B247" r:id="rId_hyperlink_491" tooltip="https://www.diodes.com/datasheet/download/DMN10H220LFDF.pdf" display="https://www.diodes.com/datasheet/download/DMN10H220LFDF.pdf"/>
    <hyperlink ref="C247" r:id="rId_hyperlink_492" tooltip="DMN10H220LFDF" display="DMN10H220LFDF"/>
    <hyperlink ref="B248" r:id="rId_hyperlink_493" tooltip="https://www.diodes.com/datasheet/download/DMN10H220LFVW.pdf" display="https://www.diodes.com/datasheet/download/DMN10H220LFVW.pdf"/>
    <hyperlink ref="C248" r:id="rId_hyperlink_494" tooltip="DMN10H220LFVW" display="DMN10H220LFVW"/>
    <hyperlink ref="B249" r:id="rId_hyperlink_495" tooltip="https://www.diodes.com/datasheet/download/DMN10H220LK3.pdf" display="https://www.diodes.com/datasheet/download/DMN10H220LK3.pdf"/>
    <hyperlink ref="C249" r:id="rId_hyperlink_496" tooltip="DMN10H220LK3" display="DMN10H220LK3"/>
    <hyperlink ref="B250" r:id="rId_hyperlink_497" tooltip="https://www.diodes.com/datasheet/download/DMN10H220LPDW.pdf" display="https://www.diodes.com/datasheet/download/DMN10H220LPDW.pdf"/>
    <hyperlink ref="C250" r:id="rId_hyperlink_498" tooltip="DMN10H220LPDW" display="DMN10H220LPDW"/>
    <hyperlink ref="B251" r:id="rId_hyperlink_499" tooltip="https://www.diodes.com/datasheet/download/DMN10H220LQ.pdf" display="https://www.diodes.com/datasheet/download/DMN10H220LQ.pdf"/>
    <hyperlink ref="C251" r:id="rId_hyperlink_500" tooltip="DMN10H220LQ" display="DMN10H220LQ"/>
    <hyperlink ref="B252" r:id="rId_hyperlink_501" tooltip="https://www.diodes.com/datasheet/download/DMN10H220LVT.pdf" display="https://www.diodes.com/datasheet/download/DMN10H220LVT.pdf"/>
    <hyperlink ref="C252" r:id="rId_hyperlink_502" tooltip="DMN10H220LVT" display="DMN10H220LVT"/>
    <hyperlink ref="B253" r:id="rId_hyperlink_503" tooltip="https://www.diodes.com/datasheet/download/DMN10H6D2LFDB.pdf" display="https://www.diodes.com/datasheet/download/DMN10H6D2LFDB.pdf"/>
    <hyperlink ref="C253" r:id="rId_hyperlink_504" tooltip="DMN10H6D2LFDB" display="DMN10H6D2LFDB"/>
    <hyperlink ref="B254" r:id="rId_hyperlink_505" tooltip="https://www.diodes.com/datasheet/download/DMN10H700S.pdf" display="https://www.diodes.com/datasheet/download/DMN10H700S.pdf"/>
    <hyperlink ref="C254" r:id="rId_hyperlink_506" tooltip="DMN10H700S" display="DMN10H700S"/>
    <hyperlink ref="B255" r:id="rId_hyperlink_507" tooltip="https://www.diodes.com/datasheet/download/DMN1150UFB.pdf" display="https://www.diodes.com/datasheet/download/DMN1150UFB.pdf"/>
    <hyperlink ref="C255" r:id="rId_hyperlink_508" tooltip="DMN1150UFB" display="DMN1150UFB"/>
    <hyperlink ref="B256" r:id="rId_hyperlink_509" tooltip="https://www.diodes.com/datasheet/download/DMN1150UFL3.pdf" display="https://www.diodes.com/datasheet/download/DMN1150UFL3.pdf"/>
    <hyperlink ref="C256" r:id="rId_hyperlink_510" tooltip="DMN1150UFL3" display="DMN1150UFL3"/>
    <hyperlink ref="B257" r:id="rId_hyperlink_511" tooltip="https://www.diodes.com/datasheet/download/DMN11M1UCA14.pdf" display="https://www.diodes.com/datasheet/download/DMN11M1UCA14.pdf"/>
    <hyperlink ref="C257" r:id="rId_hyperlink_512" tooltip="DMN11M1UCA14" display="DMN11M1UCA14"/>
    <hyperlink ref="B258" r:id="rId_hyperlink_513" tooltip="https://www.diodes.com/datasheet/download/DMN1250UFEL.pdf" display="https://www.diodes.com/datasheet/download/DMN1250UFEL.pdf"/>
    <hyperlink ref="C258" r:id="rId_hyperlink_514" tooltip="DMN1250UFEL" display="DMN1250UFEL"/>
    <hyperlink ref="B259" r:id="rId_hyperlink_515" tooltip="https://www.diodes.com/datasheet/download/DMN1260UFA.pdf" display="https://www.diodes.com/datasheet/download/DMN1260UFA.pdf"/>
    <hyperlink ref="C259" r:id="rId_hyperlink_516" tooltip="DMN1260UFA" display="DMN1260UFA"/>
    <hyperlink ref="B260" r:id="rId_hyperlink_517" tooltip="https://www.diodes.com/datasheet/download/DMN12M3UCA6.pdf" display="https://www.diodes.com/datasheet/download/DMN12M3UCA6.pdf"/>
    <hyperlink ref="C260" r:id="rId_hyperlink_518" tooltip="DMN12M3UCA6" display="DMN12M3UCA6"/>
    <hyperlink ref="B261" r:id="rId_hyperlink_519" tooltip="https://www.diodes.com/datasheet/download/DMN12M7UCA10.pdf" display="https://www.diodes.com/datasheet/download/DMN12M7UCA10.pdf"/>
    <hyperlink ref="C261" r:id="rId_hyperlink_520" tooltip="DMN12M7UCA10" display="DMN12M7UCA10"/>
    <hyperlink ref="B262" r:id="rId_hyperlink_521" tooltip="https://www.diodes.com/datasheet/download/DMN12M8UCA10.pdf" display="https://www.diodes.com/datasheet/download/DMN12M8UCA10.pdf"/>
    <hyperlink ref="C262" r:id="rId_hyperlink_522" tooltip="DMN12M8UCA10" display="DMN12M8UCA10"/>
    <hyperlink ref="B263" r:id="rId_hyperlink_523" tooltip="https://www.diodes.com/datasheet/download/DMN13H750S.pdf" display="https://www.diodes.com/datasheet/download/DMN13H750S.pdf"/>
    <hyperlink ref="C263" r:id="rId_hyperlink_524" tooltip="DMN13H750S" display="DMN13H750S"/>
    <hyperlink ref="B264" r:id="rId_hyperlink_525" tooltip="https://www.diodes.com/datasheet/download/DMN13M9UCA6.pdf" display="https://www.diodes.com/datasheet/download/DMN13M9UCA6.pdf"/>
    <hyperlink ref="C264" r:id="rId_hyperlink_526" tooltip="DMN13M9UCA6" display="DMN13M9UCA6"/>
    <hyperlink ref="B265" r:id="rId_hyperlink_527" tooltip="https://www.diodes.com/datasheet/download/DMN14M8UFDF.pdf" display="https://www.diodes.com/datasheet/download/DMN14M8UFDF.pdf"/>
    <hyperlink ref="C265" r:id="rId_hyperlink_528" tooltip="DMN14M8UFDF" display="DMN14M8UFDF"/>
    <hyperlink ref="B266" r:id="rId_hyperlink_529" tooltip="https://www.diodes.com/datasheet/download/DMN15H310SE.pdf" display="https://www.diodes.com/datasheet/download/DMN15H310SE.pdf"/>
    <hyperlink ref="C266" r:id="rId_hyperlink_530" tooltip="DMN15H310SE" display="DMN15H310SE"/>
    <hyperlink ref="B267" r:id="rId_hyperlink_531" tooltip="https://www.diodes.com/datasheet/download/DMN15H310SK3.pdf" display="https://www.diodes.com/datasheet/download/DMN15H310SK3.pdf"/>
    <hyperlink ref="C267" r:id="rId_hyperlink_532" tooltip="DMN15H310SK3" display="DMN15H310SK3"/>
    <hyperlink ref="B268" r:id="rId_hyperlink_533" tooltip="https://www.diodes.com/datasheet/download/DMN15M3UCA6.pdf" display="https://www.diodes.com/datasheet/download/DMN15M3UCA6.pdf"/>
    <hyperlink ref="C268" r:id="rId_hyperlink_534" tooltip="DMN15M3UCA6" display="DMN15M3UCA6"/>
    <hyperlink ref="B269" r:id="rId_hyperlink_535" tooltip="https://www.diodes.com/datasheet/download/DMN15M5UCA4.pdf" display="https://www.diodes.com/datasheet/download/DMN15M5UCA4.pdf"/>
    <hyperlink ref="C269" r:id="rId_hyperlink_536" tooltip="DMN15M5UCA4" display="DMN15M5UCA4"/>
    <hyperlink ref="B270" r:id="rId_hyperlink_537" tooltip="https://www.diodes.com/datasheet/download/DMN15M5UCA6.pdf" display="https://www.diodes.com/datasheet/download/DMN15M5UCA6.pdf"/>
    <hyperlink ref="C270" r:id="rId_hyperlink_538" tooltip="DMN15M5UCA6" display="DMN15M5UCA6"/>
    <hyperlink ref="B271" r:id="rId_hyperlink_539" tooltip="https://www.diodes.com/datasheet/download/DMN16M0UCA6.pdf" display="https://www.diodes.com/datasheet/download/DMN16M0UCA6.pdf"/>
    <hyperlink ref="C271" r:id="rId_hyperlink_540" tooltip="DMN16M0UCA6" display="DMN16M0UCA6"/>
    <hyperlink ref="B272" r:id="rId_hyperlink_541" tooltip="https://www.diodes.com/datasheet/download/DMN16M7UCA6.pdf" display="https://www.diodes.com/datasheet/download/DMN16M7UCA6.pdf"/>
    <hyperlink ref="C272" r:id="rId_hyperlink_542" tooltip="DMN16M7UCA6" display="DMN16M7UCA6"/>
    <hyperlink ref="B273" r:id="rId_hyperlink_543" tooltip="https://www.diodes.com/datasheet/download/DMN16M8UCA6.pdf" display="https://www.diodes.com/datasheet/download/DMN16M8UCA6.pdf"/>
    <hyperlink ref="C273" r:id="rId_hyperlink_544" tooltip="DMN16M8UCA6" display="DMN16M8UCA6"/>
    <hyperlink ref="B274" r:id="rId_hyperlink_545" tooltip="https://www.diodes.com/datasheet/download/DMN16M9UCA6.pdf" display="https://www.diodes.com/datasheet/download/DMN16M9UCA6.pdf"/>
    <hyperlink ref="C274" r:id="rId_hyperlink_546" tooltip="DMN16M9UCA6" display="DMN16M9UCA6"/>
    <hyperlink ref="B275" r:id="rId_hyperlink_547" tooltip="https://www.diodes.com/datasheet/download/DMN2002UFG.pdf" display="https://www.diodes.com/datasheet/download/DMN2002UFG.pdf"/>
    <hyperlink ref="C275" r:id="rId_hyperlink_548" tooltip="DMN2002UFG" display="DMN2002UFG"/>
    <hyperlink ref="B276" r:id="rId_hyperlink_549" tooltip="https://www.diodes.com/datasheet/download/DMN2004DMK.pdf" display="https://www.diodes.com/datasheet/download/DMN2004DMK.pdf"/>
    <hyperlink ref="C276" r:id="rId_hyperlink_550" tooltip="DMN2004DMK" display="DMN2004DMK"/>
    <hyperlink ref="B277" r:id="rId_hyperlink_551" tooltip="https://www.diodes.com/datasheet/download/DMN2004DWK.pdf" display="https://www.diodes.com/datasheet/download/DMN2004DWK.pdf"/>
    <hyperlink ref="C277" r:id="rId_hyperlink_552" tooltip="DMN2004DWK" display="DMN2004DWK"/>
    <hyperlink ref="B278" r:id="rId_hyperlink_553" tooltip="https://www.diodes.com/datasheet/download/DMN2004K.pdf" display="https://www.diodes.com/datasheet/download/DMN2004K.pdf"/>
    <hyperlink ref="C278" r:id="rId_hyperlink_554" tooltip="DMN2004K" display="DMN2004K"/>
    <hyperlink ref="B279" r:id="rId_hyperlink_555" tooltip="https://www.diodes.com/datasheet/download/DMN2004TK.pdf" display="https://www.diodes.com/datasheet/download/DMN2004TK.pdf"/>
    <hyperlink ref="C279" r:id="rId_hyperlink_556" tooltip="DMN2004TK" display="DMN2004TK"/>
    <hyperlink ref="B280" r:id="rId_hyperlink_557" tooltip="https://www.diodes.com/datasheet/download/DMN2004VK.pdf" display="https://www.diodes.com/datasheet/download/DMN2004VK.pdf"/>
    <hyperlink ref="C280" r:id="rId_hyperlink_558" tooltip="DMN2004VK" display="DMN2004VK"/>
    <hyperlink ref="B281" r:id="rId_hyperlink_559" tooltip="https://www.diodes.com/datasheet/download/DMN2004WK.pdf" display="https://www.diodes.com/datasheet/download/DMN2004WK.pdf"/>
    <hyperlink ref="C281" r:id="rId_hyperlink_560" tooltip="DMN2004WK" display="DMN2004WK"/>
    <hyperlink ref="B282" r:id="rId_hyperlink_561" tooltip="https://www.diodes.com/datasheet/download/DMN2004WKQ.pdf" display="https://www.diodes.com/datasheet/download/DMN2004WKQ.pdf"/>
    <hyperlink ref="C282" r:id="rId_hyperlink_562" tooltip="DMN2004WKQ" display="DMN2004WKQ"/>
    <hyperlink ref="B283" r:id="rId_hyperlink_563" tooltip="https://www.diodes.com/datasheet/download/DMN2005DLP4K.pdf" display="https://www.diodes.com/datasheet/download/DMN2005DLP4K.pdf"/>
    <hyperlink ref="C283" r:id="rId_hyperlink_564" tooltip="DMN2005DLP4K" display="DMN2005DLP4K"/>
    <hyperlink ref="B284" r:id="rId_hyperlink_565" tooltip="https://www.diodes.com/datasheet/download/DMN2005K.pdf" display="https://www.diodes.com/datasheet/download/DMN2005K.pdf"/>
    <hyperlink ref="C284" r:id="rId_hyperlink_566" tooltip="DMN2005K" display="DMN2005K"/>
    <hyperlink ref="B285" r:id="rId_hyperlink_567" tooltip="https://www.diodes.com/datasheet/download/DMN2005LP4K.pdf" display="https://www.diodes.com/datasheet/download/DMN2005LP4K.pdf"/>
    <hyperlink ref="C285" r:id="rId_hyperlink_568" tooltip="DMN2005LP4K" display="DMN2005LP4K"/>
    <hyperlink ref="B286" r:id="rId_hyperlink_569" tooltip="https://www.diodes.com/datasheet/download/DMN2005LPK.pdf" display="https://www.diodes.com/datasheet/download/DMN2005LPK.pdf"/>
    <hyperlink ref="C286" r:id="rId_hyperlink_570" tooltip="DMN2005LPK" display="DMN2005LPK"/>
    <hyperlink ref="B287" r:id="rId_hyperlink_571" tooltip="https://www.diodes.com/datasheet/download/DMN2005UFG.pdf" display="https://www.diodes.com/datasheet/download/DMN2005UFG.pdf"/>
    <hyperlink ref="C287" r:id="rId_hyperlink_572" tooltip="DMN2005UFG" display="DMN2005UFG"/>
    <hyperlink ref="B288" r:id="rId_hyperlink_573" tooltip="https://www.diodes.com/datasheet/download/DMN2005UFGQ.pdf" display="https://www.diodes.com/datasheet/download/DMN2005UFGQ.pdf"/>
    <hyperlink ref="C288" r:id="rId_hyperlink_574" tooltip="DMN2005UFGQ" display="DMN2005UFGQ"/>
    <hyperlink ref="B289" r:id="rId_hyperlink_575" tooltip="https://www.diodes.com/datasheet/download/DMN2005UPS.pdf" display="https://www.diodes.com/datasheet/download/DMN2005UPS.pdf"/>
    <hyperlink ref="C289" r:id="rId_hyperlink_576" tooltip="DMN2005UPS" display="DMN2005UPS"/>
    <hyperlink ref="B290" r:id="rId_hyperlink_577" tooltip="https://www.diodes.com/datasheet/download/DMN2008LFU.pdf" display="https://www.diodes.com/datasheet/download/DMN2008LFU.pdf"/>
    <hyperlink ref="C290" r:id="rId_hyperlink_578" tooltip="DMN2008LFU" display="DMN2008LFU"/>
    <hyperlink ref="B291" r:id="rId_hyperlink_579" tooltip="https://www.diodes.com/datasheet/download/DMN2009LSS.pdf" display="https://www.diodes.com/datasheet/download/DMN2009LSS.pdf"/>
    <hyperlink ref="C291" r:id="rId_hyperlink_580" tooltip="DMN2009LSS" display="DMN2009LSS"/>
    <hyperlink ref="B292" r:id="rId_hyperlink_581" tooltip="https://www.diodes.com/datasheet/download/DMN2009UCA4.pdf" display="https://www.diodes.com/datasheet/download/DMN2009UCA4.pdf"/>
    <hyperlink ref="C292" r:id="rId_hyperlink_582" tooltip="DMN2009UCA4" display="DMN2009UCA4"/>
    <hyperlink ref="B293" r:id="rId_hyperlink_583" tooltip="https://www.diodes.com/datasheet/download/DMN2009UFDF.pdf" display="https://www.diodes.com/datasheet/download/DMN2009UFDF.pdf"/>
    <hyperlink ref="C293" r:id="rId_hyperlink_584" tooltip="DMN2009UFDF" display="DMN2009UFDF"/>
    <hyperlink ref="B294" r:id="rId_hyperlink_585" tooltip="https://www.diodes.com/datasheet/download/DMN2009USS.pdf" display="https://www.diodes.com/datasheet/download/DMN2009USS.pdf"/>
    <hyperlink ref="C294" r:id="rId_hyperlink_586" tooltip="DMN2009USS" display="DMN2009USS"/>
    <hyperlink ref="B295" r:id="rId_hyperlink_587" tooltip="https://www.diodes.com/datasheet/download/DMN2011UCA6.pdf" display="https://www.diodes.com/datasheet/download/DMN2011UCA6.pdf"/>
    <hyperlink ref="C295" r:id="rId_hyperlink_588" tooltip="DMN2011UCA6" display="DMN2011UCA6"/>
    <hyperlink ref="B296" r:id="rId_hyperlink_589" tooltip="https://www.diodes.com/datasheet/download/DMN2011UFDE.pdf" display="https://www.diodes.com/datasheet/download/DMN2011UFDE.pdf"/>
    <hyperlink ref="C296" r:id="rId_hyperlink_590" tooltip="DMN2011UFDE" display="DMN2011UFDE"/>
    <hyperlink ref="B297" r:id="rId_hyperlink_591" tooltip="https://www.diodes.com/datasheet/download/DMN2011UFDF.pdf" display="https://www.diodes.com/datasheet/download/DMN2011UFDF.pdf"/>
    <hyperlink ref="C297" r:id="rId_hyperlink_592" tooltip="DMN2011UFDF" display="DMN2011UFDF"/>
    <hyperlink ref="B298" r:id="rId_hyperlink_593" tooltip="https://www.diodes.com/datasheet/download/DMN2011UFX.pdf" display="https://www.diodes.com/datasheet/download/DMN2011UFX.pdf"/>
    <hyperlink ref="C298" r:id="rId_hyperlink_594" tooltip="DMN2011UFX" display="DMN2011UFX"/>
    <hyperlink ref="B299" r:id="rId_hyperlink_595" tooltip="https://www.diodes.com/datasheet/download/DMN2011UTS.pdf" display="https://www.diodes.com/datasheet/download/DMN2011UTS.pdf"/>
    <hyperlink ref="C299" r:id="rId_hyperlink_596" tooltip="DMN2011UTS" display="DMN2011UTS"/>
    <hyperlink ref="B300" r:id="rId_hyperlink_597" tooltip="https://www.diodes.com/datasheet/download/DMN2012UCA6.pdf" display="https://www.diodes.com/datasheet/download/DMN2012UCA6.pdf"/>
    <hyperlink ref="C300" r:id="rId_hyperlink_598" tooltip="DMN2012UCA6" display="DMN2012UCA6"/>
    <hyperlink ref="B301" r:id="rId_hyperlink_599" tooltip="https://www.diodes.com/datasheet/download/DMN2013UFDE.pdf" display="https://www.diodes.com/datasheet/download/DMN2013UFDE.pdf"/>
    <hyperlink ref="C301" r:id="rId_hyperlink_600" tooltip="DMN2013UFDE" display="DMN2013UFDE"/>
    <hyperlink ref="B302" r:id="rId_hyperlink_601" tooltip="https://www.diodes.com/datasheet/download/DMN2013UFDEQ.pdf" display="https://www.diodes.com/datasheet/download/DMN2013UFDEQ.pdf"/>
    <hyperlink ref="C302" r:id="rId_hyperlink_602" tooltip="DMN2013UFDEQ" display="DMN2013UFDEQ"/>
    <hyperlink ref="B303" r:id="rId_hyperlink_603" tooltip="https://www.diodes.com/datasheet/download/DMN2013UFX.pdf" display="https://www.diodes.com/datasheet/download/DMN2013UFX.pdf"/>
    <hyperlink ref="C303" r:id="rId_hyperlink_604" tooltip="DMN2013UFX" display="DMN2013UFX"/>
    <hyperlink ref="B304" r:id="rId_hyperlink_605" tooltip="https://www.diodes.com/datasheet/download/DMN2014LHAB.pdf" display="https://www.diodes.com/datasheet/download/DMN2014LHAB.pdf"/>
    <hyperlink ref="C304" r:id="rId_hyperlink_606" tooltip="DMN2014LHAB" display="DMN2014LHAB"/>
    <hyperlink ref="B305" r:id="rId_hyperlink_607" tooltip="https://www.diodes.com/datasheet/download/DMN2015UFDE.pdf" display="https://www.diodes.com/datasheet/download/DMN2015UFDE.pdf"/>
    <hyperlink ref="C305" r:id="rId_hyperlink_608" tooltip="DMN2015UFDE" display="DMN2015UFDE"/>
    <hyperlink ref="B306" r:id="rId_hyperlink_609" tooltip="https://www.diodes.com/datasheet/download/DMN2015UFDF.pdf" display="https://www.diodes.com/datasheet/download/DMN2015UFDF.pdf"/>
    <hyperlink ref="C306" r:id="rId_hyperlink_610" tooltip="DMN2015UFDF" display="DMN2015UFDF"/>
    <hyperlink ref="B307" r:id="rId_hyperlink_611" tooltip="https://www.diodes.com/datasheet/download/DMN2016LFG.pdf" display="https://www.diodes.com/datasheet/download/DMN2016LFG.pdf"/>
    <hyperlink ref="C307" r:id="rId_hyperlink_612" tooltip="DMN2016LFG" display="DMN2016LFG"/>
    <hyperlink ref="B308" r:id="rId_hyperlink_613" tooltip="https://www.diodes.com/datasheet/download/DMN2016LHAB.pdf" display="https://www.diodes.com/datasheet/download/DMN2016LHAB.pdf"/>
    <hyperlink ref="C308" r:id="rId_hyperlink_614" tooltip="DMN2016LHAB" display="DMN2016LHAB"/>
    <hyperlink ref="B309" r:id="rId_hyperlink_615" tooltip="https://www.diodes.com/datasheet/download/DMN2016UFX.pdf" display="https://www.diodes.com/datasheet/download/DMN2016UFX.pdf"/>
    <hyperlink ref="C309" r:id="rId_hyperlink_616" tooltip="DMN2016UFX" display="DMN2016UFX"/>
    <hyperlink ref="B310" r:id="rId_hyperlink_617" tooltip="https://www.diodes.com/datasheet/download/DMN2016UTS.pdf" display="https://www.diodes.com/datasheet/download/DMN2016UTS.pdf"/>
    <hyperlink ref="C310" r:id="rId_hyperlink_618" tooltip="DMN2016UTS" display="DMN2016UTS"/>
    <hyperlink ref="B311" r:id="rId_hyperlink_619" tooltip="https://www.diodes.com/datasheet/download/DMN2019UTS.pdf" display="https://www.diodes.com/datasheet/download/DMN2019UTS.pdf"/>
    <hyperlink ref="C311" r:id="rId_hyperlink_620" tooltip="DMN2019UTS" display="DMN2019UTS"/>
    <hyperlink ref="B312" r:id="rId_hyperlink_621" tooltip="https://www.diodes.com/datasheet/download/DMN2020LSN.pdf" display="https://www.diodes.com/datasheet/download/DMN2020LSN.pdf"/>
    <hyperlink ref="C312" r:id="rId_hyperlink_622" tooltip="DMN2020LSN" display="DMN2020LSN"/>
    <hyperlink ref="B313" r:id="rId_hyperlink_623" tooltip="https://www.diodes.com/datasheet/download/DMN2020UFCL.pdf" display="https://www.diodes.com/datasheet/download/DMN2020UFCL.pdf"/>
    <hyperlink ref="C313" r:id="rId_hyperlink_624" tooltip="DMN2020UFCL" display="DMN2020UFCL"/>
    <hyperlink ref="B314" r:id="rId_hyperlink_625" tooltip="https://www.diodes.com/datasheet/download/DMN2022UCA4.pdf" display="https://www.diodes.com/datasheet/download/DMN2022UCA4.pdf"/>
    <hyperlink ref="C314" r:id="rId_hyperlink_626" tooltip="DMN2022UCA4" display="DMN2022UCA4"/>
    <hyperlink ref="B315" r:id="rId_hyperlink_627" tooltip="https://www.diodes.com/datasheet/download/DMN2022UFDF.pdf" display="https://www.diodes.com/datasheet/download/DMN2022UFDF.pdf"/>
    <hyperlink ref="C315" r:id="rId_hyperlink_628" tooltip="DMN2022UFDF" display="DMN2022UFDF"/>
    <hyperlink ref="B316" r:id="rId_hyperlink_629" tooltip="https://www.diodes.com/datasheet/download/DMN2022UNS.pdf" display="https://www.diodes.com/datasheet/download/DMN2022UNS.pdf"/>
    <hyperlink ref="C316" r:id="rId_hyperlink_630" tooltip="DMN2022UNS" display="DMN2022UNS"/>
    <hyperlink ref="B317" r:id="rId_hyperlink_631" tooltip="https://www.diodes.com/datasheet/download/DMN2023UCB4.pdf" display="https://www.diodes.com/datasheet/download/DMN2023UCB4.pdf"/>
    <hyperlink ref="C317" r:id="rId_hyperlink_632" tooltip="DMN2023UCB4" display="DMN2023UCB4"/>
    <hyperlink ref="B318" r:id="rId_hyperlink_633" tooltip="https://www.diodes.com/datasheet/download/DMN2024LCA4.pdf" display="https://www.diodes.com/datasheet/download/DMN2024LCA4.pdf"/>
    <hyperlink ref="C318" r:id="rId_hyperlink_634" tooltip="DMN2024LCA4" display="DMN2024LCA4"/>
    <hyperlink ref="B319" r:id="rId_hyperlink_635" tooltip="https://www.diodes.com/datasheet/download/DMN2024U.pdf" display="https://www.diodes.com/datasheet/download/DMN2024U.pdf"/>
    <hyperlink ref="C319" r:id="rId_hyperlink_636" tooltip="DMN2024U" display="DMN2024U"/>
    <hyperlink ref="B320" r:id="rId_hyperlink_637" tooltip="https://www.diodes.com/datasheet/download/DMN2024UDH.pdf" display="https://www.diodes.com/datasheet/download/DMN2024UDH.pdf"/>
    <hyperlink ref="C320" r:id="rId_hyperlink_638" tooltip="DMN2024UDH" display="DMN2024UDH"/>
    <hyperlink ref="B321" r:id="rId_hyperlink_639" tooltip="https://www.diodes.com/datasheet/download/DMN2024UFDF.pdf" display="https://www.diodes.com/datasheet/download/DMN2024UFDF.pdf"/>
    <hyperlink ref="C321" r:id="rId_hyperlink_640" tooltip="DMN2024UFDF" display="DMN2024UFDF"/>
    <hyperlink ref="B322" r:id="rId_hyperlink_641" tooltip="https://www.diodes.com/datasheet/download/DMN2024UFU.pdf" display="https://www.diodes.com/datasheet/download/DMN2024UFU.pdf"/>
    <hyperlink ref="C322" r:id="rId_hyperlink_642" tooltip="DMN2024UFU" display="DMN2024UFU"/>
    <hyperlink ref="B323" r:id="rId_hyperlink_643" tooltip="https://www.diodes.com/datasheet/download/DMN2024UFX.pdf" display="https://www.diodes.com/datasheet/download/DMN2024UFX.pdf"/>
    <hyperlink ref="C323" r:id="rId_hyperlink_644" tooltip="DMN2024UFX" display="DMN2024UFX"/>
    <hyperlink ref="B324" r:id="rId_hyperlink_645" tooltip="https://www.diodes.com/datasheet/download/DMN2024UQ.pdf" display="https://www.diodes.com/datasheet/download/DMN2024UQ.pdf"/>
    <hyperlink ref="C324" r:id="rId_hyperlink_646" tooltip="DMN2024UQ" display="DMN2024UQ"/>
    <hyperlink ref="B325" r:id="rId_hyperlink_647" tooltip="https://www.diodes.com/datasheet/download/DMN2024UTS.pdf" display="https://www.diodes.com/datasheet/download/DMN2024UTS.pdf"/>
    <hyperlink ref="C325" r:id="rId_hyperlink_648" tooltip="DMN2024UTS" display="DMN2024UTS"/>
    <hyperlink ref="B326" r:id="rId_hyperlink_649" tooltip="https://www.diodes.com/datasheet/download/DMN2024UVT.pdf" display="https://www.diodes.com/datasheet/download/DMN2024UVT.pdf"/>
    <hyperlink ref="C326" r:id="rId_hyperlink_650" tooltip="DMN2024UVT" display="DMN2024UVT"/>
    <hyperlink ref="B327" r:id="rId_hyperlink_651" tooltip="https://www.diodes.com/datasheet/download/DMN2024UVTQ.pdf" display="https://www.diodes.com/datasheet/download/DMN2024UVTQ.pdf"/>
    <hyperlink ref="C327" r:id="rId_hyperlink_652" tooltip="DMN2024UVTQ" display="DMN2024UVTQ"/>
    <hyperlink ref="B328" r:id="rId_hyperlink_653" tooltip="https://www.diodes.com/datasheet/download/DMN2025U.pdf" display="https://www.diodes.com/datasheet/download/DMN2025U.pdf"/>
    <hyperlink ref="C328" r:id="rId_hyperlink_654" tooltip="DMN2025U" display="DMN2025U"/>
    <hyperlink ref="B329" r:id="rId_hyperlink_655" tooltip="https://www.diodes.com/datasheet/download/DMN2025UFDB.pdf" display="https://www.diodes.com/datasheet/download/DMN2025UFDB.pdf"/>
    <hyperlink ref="C329" r:id="rId_hyperlink_656" tooltip="DMN2025UFDB" display="DMN2025UFDB"/>
    <hyperlink ref="B330" r:id="rId_hyperlink_657" tooltip="https://www.diodes.com/datasheet/download/DMN2025UFDF.pdf" display="https://www.diodes.com/datasheet/download/DMN2025UFDF.pdf"/>
    <hyperlink ref="C330" r:id="rId_hyperlink_658" tooltip="DMN2025UFDF" display="DMN2025UFDF"/>
    <hyperlink ref="B331" r:id="rId_hyperlink_659" tooltip="https://www.diodes.com/datasheet/download/DMN2026UVT.pdf" display="https://www.diodes.com/datasheet/download/DMN2026UVT.pdf"/>
    <hyperlink ref="C331" r:id="rId_hyperlink_660" tooltip="DMN2026UVT" display="DMN2026UVT"/>
    <hyperlink ref="B332" r:id="rId_hyperlink_661" tooltip="https://www.diodes.com/datasheet/download/DMN2027UPS.pdf" display="https://www.diodes.com/datasheet/download/DMN2027UPS.pdf"/>
    <hyperlink ref="C332" r:id="rId_hyperlink_662" tooltip="DMN2027UPS" display="DMN2027UPS"/>
    <hyperlink ref="B333" r:id="rId_hyperlink_663" tooltip="https://www.diodes.com/datasheet/download/DMN2027USS.pdf" display="https://www.diodes.com/datasheet/download/DMN2027USS.pdf"/>
    <hyperlink ref="C333" r:id="rId_hyperlink_664" tooltip="DMN2027USS" display="DMN2027USS"/>
    <hyperlink ref="B334" r:id="rId_hyperlink_665" tooltip="https://www.diodes.com/datasheet/download/DMN2028UFDF.pdf" display="https://www.diodes.com/datasheet/download/DMN2028UFDF.pdf"/>
    <hyperlink ref="C334" r:id="rId_hyperlink_666" tooltip="DMN2028UFDF" display="DMN2028UFDF"/>
    <hyperlink ref="B335" r:id="rId_hyperlink_667" tooltip="https://www.diodes.com/datasheet/download/DMN2028UFDH.pdf" display="https://www.diodes.com/datasheet/download/DMN2028UFDH.pdf"/>
    <hyperlink ref="C335" r:id="rId_hyperlink_668" tooltip="DMN2028UFDH" display="DMN2028UFDH"/>
    <hyperlink ref="B336" r:id="rId_hyperlink_669" tooltip="https://www.diodes.com/datasheet/download/DMN2028UFU.pdf" display="https://www.diodes.com/datasheet/download/DMN2028UFU.pdf"/>
    <hyperlink ref="C336" r:id="rId_hyperlink_670" tooltip="DMN2028UFU" display="DMN2028UFU"/>
    <hyperlink ref="B337" r:id="rId_hyperlink_671" tooltip="https://www.diodes.com/datasheet/download/DMN2028USS.pdf" display="https://www.diodes.com/datasheet/download/DMN2028USS.pdf"/>
    <hyperlink ref="C337" r:id="rId_hyperlink_672" tooltip="DMN2028USS" display="DMN2028USS"/>
    <hyperlink ref="B338" r:id="rId_hyperlink_673" tooltip="https://www.diodes.com/datasheet/download/DMN2028UVT.pdf" display="https://www.diodes.com/datasheet/download/DMN2028UVT.pdf"/>
    <hyperlink ref="C338" r:id="rId_hyperlink_674" tooltip="DMN2028UVT" display="DMN2028UVT"/>
    <hyperlink ref="B339" r:id="rId_hyperlink_675" tooltip="https://www.diodes.com/datasheet/download/DMN2029USD.pdf" display="https://www.diodes.com/datasheet/download/DMN2029USD.pdf"/>
    <hyperlink ref="C339" r:id="rId_hyperlink_676" tooltip="DMN2029USD" display="DMN2029USD"/>
    <hyperlink ref="B340" r:id="rId_hyperlink_677" tooltip="https://www.diodes.com/datasheet/download/DMN2029UVT.pdf" display="https://www.diodes.com/datasheet/download/DMN2029UVT.pdf"/>
    <hyperlink ref="C340" r:id="rId_hyperlink_678" tooltip="DMN2029UVT" display="DMN2029UVT"/>
    <hyperlink ref="B341" r:id="rId_hyperlink_679" tooltip="https://www.diodes.com/datasheet/download/DMN2030UCA4.pdf" display="https://www.diodes.com/datasheet/download/DMN2030UCA4.pdf"/>
    <hyperlink ref="C341" r:id="rId_hyperlink_680" tooltip="DMN2030UCA4" display="DMN2030UCA4"/>
    <hyperlink ref="B342" r:id="rId_hyperlink_681" tooltip="https://www.diodes.com/datasheet/download/DMN2036UCB4.pdf" display="https://www.diodes.com/datasheet/download/DMN2036UCB4.pdf"/>
    <hyperlink ref="C342" r:id="rId_hyperlink_682" tooltip="DMN2036UCB4" display="DMN2036UCB4"/>
    <hyperlink ref="B343" r:id="rId_hyperlink_683" tooltip="https://www.diodes.com/datasheet/download/DMN2040LTS.pdf" display="https://www.diodes.com/datasheet/download/DMN2040LTS.pdf"/>
    <hyperlink ref="C343" r:id="rId_hyperlink_684" tooltip="DMN2040LTS" display="DMN2040LTS"/>
    <hyperlink ref="B344" r:id="rId_hyperlink_685" tooltip="https://www.diodes.com/datasheet/download/DMN2040U+.pdf" display="https://www.diodes.com/datasheet/download/DMN2040U+.pdf"/>
    <hyperlink ref="C344" r:id="rId_hyperlink_686" tooltip="DMN2040U" display="DMN2040U"/>
    <hyperlink ref="B345" r:id="rId_hyperlink_687" tooltip="https://www.diodes.com/datasheet/download/DMN2040UQ.pdf" display="https://www.diodes.com/datasheet/download/DMN2040UQ.pdf"/>
    <hyperlink ref="C345" r:id="rId_hyperlink_688" tooltip="DMN2040UQ" display="DMN2040UQ"/>
    <hyperlink ref="B346" r:id="rId_hyperlink_689" tooltip="https://www.diodes.com/datasheet/download/DMN2040UVT.pdf" display="https://www.diodes.com/datasheet/download/DMN2040UVT.pdf"/>
    <hyperlink ref="C346" r:id="rId_hyperlink_690" tooltip="DMN2040UVT" display="DMN2040UVT"/>
    <hyperlink ref="B347" r:id="rId_hyperlink_691" tooltip="https://www.diodes.com/datasheet/download/DMN2041LSD.pdf" display="https://www.diodes.com/datasheet/download/DMN2041LSD.pdf"/>
    <hyperlink ref="C347" r:id="rId_hyperlink_692" tooltip="DMN2041LSD" display="DMN2041LSD"/>
    <hyperlink ref="B348" r:id="rId_hyperlink_693" tooltip="https://www.diodes.com/datasheet/download/DMN2041UFDB.pdf" display="https://www.diodes.com/datasheet/download/DMN2041UFDB.pdf"/>
    <hyperlink ref="C348" r:id="rId_hyperlink_694" tooltip="DMN2041UFDB" display="DMN2041UFDB"/>
    <hyperlink ref="B349" r:id="rId_hyperlink_695" tooltip="https://www.diodes.com/datasheet/download/DMN2041UVT.pdf" display="https://www.diodes.com/datasheet/download/DMN2041UVT.pdf"/>
    <hyperlink ref="C349" r:id="rId_hyperlink_696" tooltip="DMN2041UVT" display="DMN2041UVT"/>
    <hyperlink ref="B350" r:id="rId_hyperlink_697" tooltip="https://www.diodes.com/datasheet/download/DMN2044UCB4.pdf" display="https://www.diodes.com/datasheet/download/DMN2044UCB4.pdf"/>
    <hyperlink ref="C350" r:id="rId_hyperlink_698" tooltip="DMN2044UCB4" display="DMN2044UCB4"/>
    <hyperlink ref="B351" r:id="rId_hyperlink_699" tooltip="https://www.diodes.com/datasheet/download/DMN2046U.pdf" display="https://www.diodes.com/datasheet/download/DMN2046U.pdf"/>
    <hyperlink ref="C351" r:id="rId_hyperlink_700" tooltip="DMN2046U" display="DMN2046U"/>
    <hyperlink ref="B352" r:id="rId_hyperlink_701" tooltip="https://www.diodes.com/datasheet/download/DMN2046UVT.pdf" display="https://www.diodes.com/datasheet/download/DMN2046UVT.pdf"/>
    <hyperlink ref="C352" r:id="rId_hyperlink_702" tooltip="DMN2046UVT" display="DMN2046UVT"/>
    <hyperlink ref="B353" r:id="rId_hyperlink_703" tooltip="https://www.diodes.com/datasheet/download/DMN2046UW.pdf" display="https://www.diodes.com/datasheet/download/DMN2046UW.pdf"/>
    <hyperlink ref="C353" r:id="rId_hyperlink_704" tooltip="DMN2046UW" display="DMN2046UW"/>
    <hyperlink ref="B354" r:id="rId_hyperlink_705" tooltip="https://www.diodes.com/datasheet/download/DMN2050L.pdf" display="https://www.diodes.com/datasheet/download/DMN2050L.pdf"/>
    <hyperlink ref="C354" r:id="rId_hyperlink_706" tooltip="DMN2050L" display="DMN2050L"/>
    <hyperlink ref="B355" r:id="rId_hyperlink_707" tooltip="https://www.diodes.com/datasheet/download/DMN2050LFDB.pdf" display="https://www.diodes.com/datasheet/download/DMN2050LFDB.pdf"/>
    <hyperlink ref="C355" r:id="rId_hyperlink_708" tooltip="DMN2050LFDB" display="DMN2050LFDB"/>
    <hyperlink ref="B356" r:id="rId_hyperlink_709" tooltip="https://www.diodes.com/datasheet/download/DMN2050LQ.pdf" display="https://www.diodes.com/datasheet/download/DMN2050LQ.pdf"/>
    <hyperlink ref="C356" r:id="rId_hyperlink_710" tooltip="DMN2050LQ" display="DMN2050LQ"/>
    <hyperlink ref="B357" r:id="rId_hyperlink_711" tooltip="https://www.diodes.com/datasheet/download/DMN2053U.pdf" display="https://www.diodes.com/datasheet/download/DMN2053U.pdf"/>
    <hyperlink ref="C357" r:id="rId_hyperlink_712" tooltip="DMN2053U" display="DMN2053U"/>
    <hyperlink ref="B358" r:id="rId_hyperlink_713" tooltip="https://www.diodes.com/datasheet/download/DMN2053UFDB.pdf" display="https://www.diodes.com/datasheet/download/DMN2053UFDB.pdf"/>
    <hyperlink ref="C358" r:id="rId_hyperlink_714" tooltip="DMN2053UFDB" display="DMN2053UFDB"/>
    <hyperlink ref="B359" r:id="rId_hyperlink_715" tooltip="https://www.diodes.com/datasheet/download/DMN2053UFDBQ.pdf" display="https://www.diodes.com/datasheet/download/DMN2053UFDBQ.pdf"/>
    <hyperlink ref="C359" r:id="rId_hyperlink_716" tooltip="DMN2053UFDBQ" display="DMN2053UFDBQ"/>
    <hyperlink ref="B360" r:id="rId_hyperlink_717" tooltip="https://www.diodes.com/datasheet/download/DMN2053UQ.pdf" display="https://www.diodes.com/datasheet/download/DMN2053UQ.pdf"/>
    <hyperlink ref="C360" r:id="rId_hyperlink_718" tooltip="DMN2053UQ" display="DMN2053UQ"/>
    <hyperlink ref="B361" r:id="rId_hyperlink_719" tooltip="https://www.diodes.com/datasheet/download/DMN2053UVT.pdf" display="https://www.diodes.com/datasheet/download/DMN2053UVT.pdf"/>
    <hyperlink ref="C361" r:id="rId_hyperlink_720" tooltip="DMN2053UVT" display="DMN2053UVT"/>
    <hyperlink ref="B362" r:id="rId_hyperlink_721" tooltip="https://www.diodes.com/datasheet/download/DMN2053UVTQ.pdf" display="https://www.diodes.com/datasheet/download/DMN2053UVTQ.pdf"/>
    <hyperlink ref="C362" r:id="rId_hyperlink_722" tooltip="DMN2053UVTQ" display="DMN2053UVTQ"/>
    <hyperlink ref="B363" r:id="rId_hyperlink_723" tooltip="https://www.diodes.com/datasheet/download/DMN2053UW.pdf" display="https://www.diodes.com/datasheet/download/DMN2053UW.pdf"/>
    <hyperlink ref="C363" r:id="rId_hyperlink_724" tooltip="DMN2053UW" display="DMN2053UW"/>
    <hyperlink ref="B364" r:id="rId_hyperlink_725" tooltip="https://www.diodes.com/datasheet/download/DMN2053UWQ.pdf" display="https://www.diodes.com/datasheet/download/DMN2053UWQ.pdf"/>
    <hyperlink ref="C364" r:id="rId_hyperlink_726" tooltip="DMN2053UWQ" display="DMN2053UWQ"/>
    <hyperlink ref="B365" r:id="rId_hyperlink_727" tooltip="https://www.diodes.com/datasheet/download/DMN2055U.pdf" display="https://www.diodes.com/datasheet/download/DMN2055U.pdf"/>
    <hyperlink ref="C365" r:id="rId_hyperlink_728" tooltip="DMN2055U" display="DMN2055U"/>
    <hyperlink ref="B366" r:id="rId_hyperlink_729" tooltip="https://www.diodes.com/datasheet/download/DMN2055UQ.pdf" display="https://www.diodes.com/datasheet/download/DMN2055UQ.pdf"/>
    <hyperlink ref="C366" r:id="rId_hyperlink_730" tooltip="DMN2055UQ" display="DMN2055UQ"/>
    <hyperlink ref="B367" r:id="rId_hyperlink_731" tooltip="https://www.diodes.com/datasheet/download/DMN2055UW.pdf" display="https://www.diodes.com/datasheet/download/DMN2055UW.pdf"/>
    <hyperlink ref="C367" r:id="rId_hyperlink_732" tooltip="DMN2055UW" display="DMN2055UW"/>
    <hyperlink ref="B368" r:id="rId_hyperlink_733" tooltip="https://www.diodes.com/datasheet/download/DMN2055UWQ.pdf" display="https://www.diodes.com/datasheet/download/DMN2055UWQ.pdf"/>
    <hyperlink ref="C368" r:id="rId_hyperlink_734" tooltip="DMN2055UWQ" display="DMN2055UWQ"/>
    <hyperlink ref="B369" r:id="rId_hyperlink_735" tooltip="https://www.diodes.com/datasheet/download/DMN2056U.pdf" display="https://www.diodes.com/datasheet/download/DMN2056U.pdf"/>
    <hyperlink ref="C369" r:id="rId_hyperlink_736" tooltip="DMN2056U" display="DMN2056U"/>
    <hyperlink ref="B370" r:id="rId_hyperlink_737" tooltip="https://www.diodes.com/datasheet/download/DMN2058U.pdf" display="https://www.diodes.com/datasheet/download/DMN2058U.pdf"/>
    <hyperlink ref="C370" r:id="rId_hyperlink_738" tooltip="DMN2058U" display="DMN2058U"/>
    <hyperlink ref="B371" r:id="rId_hyperlink_739" tooltip="https://www.diodes.com/datasheet/download/DMN2058UW.pdf" display="https://www.diodes.com/datasheet/download/DMN2058UW.pdf"/>
    <hyperlink ref="C371" r:id="rId_hyperlink_740" tooltip="DMN2058UW" display="DMN2058UW"/>
    <hyperlink ref="B372" r:id="rId_hyperlink_741" tooltip="https://www.diodes.com/datasheet/download/DMN2075U.pdf" display="https://www.diodes.com/datasheet/download/DMN2075U.pdf"/>
    <hyperlink ref="C372" r:id="rId_hyperlink_742" tooltip="DMN2075U" display="DMN2075U"/>
    <hyperlink ref="B373" r:id="rId_hyperlink_743" tooltip="https://www.diodes.com/datasheet/download/DMN2075UDW.pdf" display="https://www.diodes.com/datasheet/download/DMN2075UDW.pdf"/>
    <hyperlink ref="C373" r:id="rId_hyperlink_744" tooltip="DMN2075UDW" display="DMN2075UDW"/>
    <hyperlink ref="B374" r:id="rId_hyperlink_745" tooltip="https://www.diodes.com/datasheet/download/DMN2080UCB4.pdf" display="https://www.diodes.com/datasheet/download/DMN2080UCB4.pdf"/>
    <hyperlink ref="C374" r:id="rId_hyperlink_746" tooltip="DMN2080UCB4" display="DMN2080UCB4"/>
    <hyperlink ref="B375" r:id="rId_hyperlink_747" tooltip="https://www.diodes.com/datasheet/download/DMN2100UDM.pdf" display="https://www.diodes.com/datasheet/download/DMN2100UDM.pdf"/>
    <hyperlink ref="C375" r:id="rId_hyperlink_748" tooltip="DMN2100UDM" display="DMN2100UDM"/>
    <hyperlink ref="B376" r:id="rId_hyperlink_749" tooltip="https://www.diodes.com/datasheet/download/DMN2120UFCL.pdf" display="https://www.diodes.com/datasheet/download/DMN2120UFCL.pdf"/>
    <hyperlink ref="C376" r:id="rId_hyperlink_750" tooltip="DMN2120UFCL" display="DMN2120UFCL"/>
    <hyperlink ref="B377" r:id="rId_hyperlink_751" tooltip="https://www.diodes.com/datasheet/download/DMN21D1UDA.pdf" display="https://www.diodes.com/datasheet/download/DMN21D1UDA.pdf"/>
    <hyperlink ref="C377" r:id="rId_hyperlink_752" tooltip="DMN21D1UDA" display="DMN21D1UDA"/>
    <hyperlink ref="B378" r:id="rId_hyperlink_753" tooltip="https://www.diodes.com/datasheet/download/DMN21D2UFB.pdf" display="https://www.diodes.com/datasheet/download/DMN21D2UFB.pdf"/>
    <hyperlink ref="C378" r:id="rId_hyperlink_754" tooltip="DMN21D2UFB" display="DMN21D2UFB"/>
    <hyperlink ref="B379" r:id="rId_hyperlink_755" tooltip="https://www.diodes.com/datasheet/download/DMN2250UFB.pdf" display="https://www.diodes.com/datasheet/download/DMN2250UFB.pdf"/>
    <hyperlink ref="C379" r:id="rId_hyperlink_756" tooltip="DMN2250UFB" display="DMN2250UFB"/>
    <hyperlink ref="B380" r:id="rId_hyperlink_757" tooltip="https://www.diodes.com/datasheet/download/DMN22M5UCA10.pdf" display="https://www.diodes.com/datasheet/download/DMN22M5UCA10.pdf"/>
    <hyperlink ref="C380" r:id="rId_hyperlink_758" tooltip="DMN22M5UCA10" display="DMN22M5UCA10"/>
    <hyperlink ref="B381" r:id="rId_hyperlink_759" tooltip="https://www.diodes.com/datasheet/download/DMN22M5UFG.pdf" display="https://www.diodes.com/datasheet/download/DMN22M5UFG.pdf"/>
    <hyperlink ref="C381" r:id="rId_hyperlink_760" tooltip="DMN22M5UFG" display="DMN22M5UFG"/>
    <hyperlink ref="B382" r:id="rId_hyperlink_761" tooltip="https://www.diodes.com/datasheet/download/DMN2300U.pdf" display="https://www.diodes.com/datasheet/download/DMN2300U.pdf"/>
    <hyperlink ref="C382" r:id="rId_hyperlink_762" tooltip="DMN2300U" display="DMN2300U"/>
    <hyperlink ref="B383" r:id="rId_hyperlink_763" tooltip="https://www.diodes.com/datasheet/download/DMN2300UFB.pdf" display="https://www.diodes.com/datasheet/download/DMN2300UFB.pdf"/>
    <hyperlink ref="C383" r:id="rId_hyperlink_764" tooltip="DMN2300UFB" display="DMN2300UFB"/>
    <hyperlink ref="B384" r:id="rId_hyperlink_765" tooltip="https://www.diodes.com/datasheet/download/DMN2300UFB4.pdf" display="https://www.diodes.com/datasheet/download/DMN2300UFB4.pdf"/>
    <hyperlink ref="C384" r:id="rId_hyperlink_766" tooltip="DMN2300UFB4" display="DMN2300UFB4"/>
    <hyperlink ref="B385" r:id="rId_hyperlink_767" tooltip="https://www.diodes.com/datasheet/download/DMN2300UFD.pdf" display="https://www.diodes.com/datasheet/download/DMN2300UFD.pdf"/>
    <hyperlink ref="C385" r:id="rId_hyperlink_768" tooltip="DMN2300UFD" display="DMN2300UFD"/>
    <hyperlink ref="B386" r:id="rId_hyperlink_769" tooltip="https://www.diodes.com/datasheet/download/DMN2300UFL4.pdf" display="https://www.diodes.com/datasheet/download/DMN2300UFL4.pdf"/>
    <hyperlink ref="C386" r:id="rId_hyperlink_770" tooltip="DMN2300UFL4" display="DMN2300UFL4"/>
    <hyperlink ref="B387" r:id="rId_hyperlink_771" tooltip="https://www.diodes.com/datasheet/download/DMN2300UFL4Q.pdf" display="https://www.diodes.com/datasheet/download/DMN2300UFL4Q.pdf"/>
    <hyperlink ref="C387" r:id="rId_hyperlink_772" tooltip="DMN2300UFL4Q" display="DMN2300UFL4Q"/>
    <hyperlink ref="B388" r:id="rId_hyperlink_773" tooltip="https://www.diodes.com/datasheet/download/DMN2310U.pdf" display="https://www.diodes.com/datasheet/download/DMN2310U.pdf"/>
    <hyperlink ref="C388" r:id="rId_hyperlink_774" tooltip="DMN2310U" display="DMN2310U"/>
    <hyperlink ref="B389" r:id="rId_hyperlink_775" tooltip="https://www.diodes.com/datasheet/download/DMN2310UFB4.pdf" display="https://www.diodes.com/datasheet/download/DMN2310UFB4.pdf"/>
    <hyperlink ref="C389" r:id="rId_hyperlink_776" tooltip="DMN2310UFB4" display="DMN2310UFB4"/>
    <hyperlink ref="B390" r:id="rId_hyperlink_777" tooltip="https://www.diodes.com/datasheet/download/DMN2310UFD.pdf" display="https://www.diodes.com/datasheet/download/DMN2310UFD.pdf"/>
    <hyperlink ref="C390" r:id="rId_hyperlink_778" tooltip="DMN2310UFD" display="DMN2310UFD"/>
    <hyperlink ref="B391" r:id="rId_hyperlink_779" tooltip="https://www.diodes.com/datasheet/download/DMN2310UT.pdf" display="https://www.diodes.com/datasheet/download/DMN2310UT.pdf"/>
    <hyperlink ref="C391" r:id="rId_hyperlink_780" tooltip="DMN2310UT" display="DMN2310UT"/>
    <hyperlink ref="B392" r:id="rId_hyperlink_781" tooltip="https://www.diodes.com/datasheet/download/DMN2310UTQ.pdf" display="https://www.diodes.com/datasheet/download/DMN2310UTQ.pdf"/>
    <hyperlink ref="C392" r:id="rId_hyperlink_782" tooltip="DMN2310UTQ" display="DMN2310UTQ"/>
    <hyperlink ref="B393" r:id="rId_hyperlink_783" tooltip="https://www.diodes.com/datasheet/download/DMN2310UW.pdf" display="https://www.diodes.com/datasheet/download/DMN2310UW.pdf"/>
    <hyperlink ref="C393" r:id="rId_hyperlink_784" tooltip="DMN2310UW" display="DMN2310UW"/>
    <hyperlink ref="B394" r:id="rId_hyperlink_785" tooltip="https://www.diodes.com/datasheet/download/DMN2310UWQ.pdf" display="https://www.diodes.com/datasheet/download/DMN2310UWQ.pdf"/>
    <hyperlink ref="C394" r:id="rId_hyperlink_786" tooltip="DMN2310UWQ" display="DMN2310UWQ"/>
    <hyperlink ref="B395" r:id="rId_hyperlink_787" tooltip="https://www.diodes.com/datasheet/download/DMN2320UFB4.pdf" display="https://www.diodes.com/datasheet/download/DMN2320UFB4.pdf"/>
    <hyperlink ref="C395" r:id="rId_hyperlink_788" tooltip="DMN2320UFB4" display="DMN2320UFB4"/>
    <hyperlink ref="B396" r:id="rId_hyperlink_789" tooltip="https://www.diodes.com/datasheet/download/DMN2400UFB.pdf" display="https://www.diodes.com/datasheet/download/DMN2400UFB.pdf"/>
    <hyperlink ref="C396" r:id="rId_hyperlink_790" tooltip="DMN2400UFB" display="DMN2400UFB"/>
    <hyperlink ref="B397" r:id="rId_hyperlink_791" tooltip="https://www.diodes.com/datasheet/download/DMN2400UV.pdf" display="https://www.diodes.com/datasheet/download/DMN2400UV.pdf"/>
    <hyperlink ref="C397" r:id="rId_hyperlink_792" tooltip="DMN2400UV" display="DMN2400UV"/>
    <hyperlink ref="B398" r:id="rId_hyperlink_793" tooltip="https://www.diodes.com/datasheet/download/DMN2450UFB4.pdf" display="https://www.diodes.com/datasheet/download/DMN2450UFB4.pdf"/>
    <hyperlink ref="C398" r:id="rId_hyperlink_794" tooltip="DMN2450UFB4" display="DMN2450UFB4"/>
    <hyperlink ref="B399" r:id="rId_hyperlink_795" tooltip="https://www.diodes.com/datasheet/download/DMN2450UFB4Q.pdf" display="https://www.diodes.com/datasheet/download/DMN2450UFB4Q.pdf"/>
    <hyperlink ref="C399" r:id="rId_hyperlink_796" tooltip="DMN2450UFB4Q" display="DMN2450UFB4Q"/>
    <hyperlink ref="B400" r:id="rId_hyperlink_797" tooltip="https://www.diodes.com/datasheet/download/DMN2450UFD.pdf" display="https://www.diodes.com/datasheet/download/DMN2450UFD.pdf"/>
    <hyperlink ref="C400" r:id="rId_hyperlink_798" tooltip="DMN2450UFD" display="DMN2450UFD"/>
    <hyperlink ref="B401" r:id="rId_hyperlink_799" tooltip="https://www.diodes.com/datasheet/download/DMN2451UFB4.pdf" display="https://www.diodes.com/datasheet/download/DMN2451UFB4.pdf"/>
    <hyperlink ref="C401" r:id="rId_hyperlink_800" tooltip="DMN2451UFB4" display="DMN2451UFB4"/>
    <hyperlink ref="B402" r:id="rId_hyperlink_801" tooltip="https://www.diodes.com/datasheet/download/DMN2451UFB4Q.pdf" display="https://www.diodes.com/datasheet/download/DMN2451UFB4Q.pdf"/>
    <hyperlink ref="C402" r:id="rId_hyperlink_802" tooltip="DMN2451UFB4Q" display="DMN2451UFB4Q"/>
    <hyperlink ref="B403" r:id="rId_hyperlink_803" tooltip="https://www.diodes.com/datasheet/download/DMN2451UFDQ.pdf" display="https://www.diodes.com/datasheet/download/DMN2451UFDQ.pdf"/>
    <hyperlink ref="C403" r:id="rId_hyperlink_804" tooltip="DMN2451UFDQ" display="DMN2451UFDQ"/>
    <hyperlink ref="B404" r:id="rId_hyperlink_805" tooltip="https://www.diodes.com/datasheet/download/DMN24H11DS.pdf" display="https://www.diodes.com/datasheet/download/DMN24H11DS.pdf"/>
    <hyperlink ref="C404" r:id="rId_hyperlink_806" tooltip="DMN24H11DS" display="DMN24H11DS"/>
    <hyperlink ref="B405" r:id="rId_hyperlink_807" tooltip="https://www.diodes.com/datasheet/download/DMN24H11DSQ.pdf" display="https://www.diodes.com/datasheet/download/DMN24H11DSQ.pdf"/>
    <hyperlink ref="C405" r:id="rId_hyperlink_808" tooltip="DMN24H11DSQ" display="DMN24H11DSQ"/>
    <hyperlink ref="B406" r:id="rId_hyperlink_809" tooltip="https://www.diodes.com/datasheet/download/DMN24H3D5L.pdf" display="https://www.diodes.com/datasheet/download/DMN24H3D5L.pdf"/>
    <hyperlink ref="C406" r:id="rId_hyperlink_810" tooltip="DMN24H3D5L" display="DMN24H3D5L"/>
    <hyperlink ref="B407" r:id="rId_hyperlink_811" tooltip="https://www.diodes.com/datasheet/download/DMN2501UFB4.pdf" display="https://www.diodes.com/datasheet/download/DMN2501UFB4.pdf"/>
    <hyperlink ref="C407" r:id="rId_hyperlink_812" tooltip="DMN2501UFB4" display="DMN2501UFB4"/>
    <hyperlink ref="B408" r:id="rId_hyperlink_813" tooltip="https://www.diodes.com/datasheet/download/DMN2550UFA.pdf" display="https://www.diodes.com/datasheet/download/DMN2550UFA.pdf"/>
    <hyperlink ref="C408" r:id="rId_hyperlink_814" tooltip="DMN2550UFA" display="DMN2550UFA"/>
    <hyperlink ref="B409" r:id="rId_hyperlink_815" tooltip="https://www.diodes.com/datasheet/download/DMN25D0UFA.pdf" display="https://www.diodes.com/datasheet/download/DMN25D0UFA.pdf"/>
    <hyperlink ref="C409" r:id="rId_hyperlink_816" tooltip="DMN25D0UFA" display="DMN25D0UFA"/>
    <hyperlink ref="B410" r:id="rId_hyperlink_817" tooltip="https://www.diodes.com/datasheet/download/DMN2600UFB.pdf" display="https://www.diodes.com/datasheet/download/DMN2600UFB.pdf"/>
    <hyperlink ref="C410" r:id="rId_hyperlink_818" tooltip="DMN2600UFB" display="DMN2600UFB"/>
    <hyperlink ref="B411" r:id="rId_hyperlink_819" tooltip="https://www.diodes.com/datasheet/download/DMN26D0UT.pdf" display="https://www.diodes.com/datasheet/download/DMN26D0UT.pdf"/>
    <hyperlink ref="C411" r:id="rId_hyperlink_820" tooltip="DMN26D0UT" display="DMN26D0UT"/>
    <hyperlink ref="B412" r:id="rId_hyperlink_821" tooltip="https://www.diodes.com/datasheet/download/DMN2710UDW.pdf" display="https://www.diodes.com/datasheet/download/DMN2710UDW.pdf"/>
    <hyperlink ref="C412" r:id="rId_hyperlink_822" tooltip="DMN2710UDW" display="DMN2710UDW"/>
    <hyperlink ref="B413" r:id="rId_hyperlink_823" tooltip="https://www.diodes.com/datasheet/download/DMN2710UDWQ.pdf" display="https://www.diodes.com/datasheet/download/DMN2710UDWQ.pdf"/>
    <hyperlink ref="C413" r:id="rId_hyperlink_824" tooltip="DMN2710UDWQ" display="DMN2710UDWQ"/>
    <hyperlink ref="B414" r:id="rId_hyperlink_825" tooltip="https://www.diodes.com/datasheet/download/DMN2710UFB.pdf" display="https://www.diodes.com/datasheet/download/DMN2710UFB.pdf"/>
    <hyperlink ref="C414" r:id="rId_hyperlink_826" tooltip="DMN2710UFB" display="DMN2710UFB"/>
    <hyperlink ref="B415" r:id="rId_hyperlink_827" tooltip="https://www.diodes.com/datasheet/download/DMN2710UFBQ.pdf" display="https://www.diodes.com/datasheet/download/DMN2710UFBQ.pdf"/>
    <hyperlink ref="C415" r:id="rId_hyperlink_828" tooltip="DMN2710UFBQ" display="DMN2710UFBQ"/>
    <hyperlink ref="B416" r:id="rId_hyperlink_829" tooltip="https://www.diodes.com/datasheet/download/DMN2710UT.pdf" display="https://www.diodes.com/datasheet/download/DMN2710UT.pdf"/>
    <hyperlink ref="C416" r:id="rId_hyperlink_830" tooltip="DMN2710UT" display="DMN2710UT"/>
    <hyperlink ref="B417" r:id="rId_hyperlink_831" tooltip="https://www.diodes.com/datasheet/download/DMN2710UTQ.pdf" display="https://www.diodes.com/datasheet/download/DMN2710UTQ.pdf"/>
    <hyperlink ref="C417" r:id="rId_hyperlink_832" tooltip="DMN2710UTQ" display="DMN2710UTQ"/>
    <hyperlink ref="B418" r:id="rId_hyperlink_833" tooltip="https://www.diodes.com/datasheet/download/DMN2710UV.pdf" display="https://www.diodes.com/datasheet/download/DMN2710UV.pdf"/>
    <hyperlink ref="C418" r:id="rId_hyperlink_834" tooltip="DMN2710UV" display="DMN2710UV"/>
    <hyperlink ref="B419" r:id="rId_hyperlink_835" tooltip="https://www.diodes.com/datasheet/download/DMN2710UVQ.pdf" display="https://www.diodes.com/datasheet/download/DMN2710UVQ.pdf"/>
    <hyperlink ref="C419" r:id="rId_hyperlink_836" tooltip="DMN2710UVQ" display="DMN2710UVQ"/>
    <hyperlink ref="B420" r:id="rId_hyperlink_837" tooltip="https://www.diodes.com/datasheet/download/DMN2710UW.pdf" display="https://www.diodes.com/datasheet/download/DMN2710UW.pdf"/>
    <hyperlink ref="C420" r:id="rId_hyperlink_838" tooltip="DMN2710UW" display="DMN2710UW"/>
    <hyperlink ref="B421" r:id="rId_hyperlink_839" tooltip="https://www.diodes.com/datasheet/download/DMN2710UWQ.pdf" display="https://www.diodes.com/datasheet/download/DMN2710UWQ.pdf"/>
    <hyperlink ref="C421" r:id="rId_hyperlink_840" tooltip="DMN2710UWQ" display="DMN2710UWQ"/>
    <hyperlink ref="B422" r:id="rId_hyperlink_841" tooltip="https://www.diodes.com/datasheet/download/DMN2990UDJ.pdf" display="https://www.diodes.com/datasheet/download/DMN2990UDJ.pdf"/>
    <hyperlink ref="C422" r:id="rId_hyperlink_842" tooltip="DMN2990UDJ" display="DMN2990UDJ"/>
    <hyperlink ref="B423" r:id="rId_hyperlink_843" tooltip="https://www.diodes.com/datasheet/download/DMN2990UDJQ.pdf" display="https://www.diodes.com/datasheet/download/DMN2990UDJQ.pdf"/>
    <hyperlink ref="C423" r:id="rId_hyperlink_844" tooltip="DMN2990UDJQ" display="DMN2990UDJQ"/>
    <hyperlink ref="B424" r:id="rId_hyperlink_845" tooltip="https://www.diodes.com/datasheet/download/DMN2990UFA.pdf" display="https://www.diodes.com/datasheet/download/DMN2990UFA.pdf"/>
    <hyperlink ref="C424" r:id="rId_hyperlink_846" tooltip="DMN2990UFA" display="DMN2990UFA"/>
    <hyperlink ref="B425" r:id="rId_hyperlink_847" tooltip="https://www.diodes.com/datasheet/download/DMN2990UFB.pdf" display="https://www.diodes.com/datasheet/download/DMN2990UFB.pdf"/>
    <hyperlink ref="C425" r:id="rId_hyperlink_848" tooltip="DMN2990UFB" display="DMN2990UFB"/>
    <hyperlink ref="B426" r:id="rId_hyperlink_849" tooltip="https://www.diodes.com/datasheet/download/DMN2990UFO.pdf" display="https://www.diodes.com/datasheet/download/DMN2990UFO.pdf"/>
    <hyperlink ref="C426" r:id="rId_hyperlink_850" tooltip="DMN2990UFO" display="DMN2990UFO"/>
    <hyperlink ref="B427" r:id="rId_hyperlink_851" tooltip="https://www.diodes.com/datasheet/download/DMN2990UFZ.pdf" display="https://www.diodes.com/datasheet/download/DMN2990UFZ.pdf"/>
    <hyperlink ref="C427" r:id="rId_hyperlink_852" tooltip="DMN2990UFZ" display="DMN2990UFZ"/>
    <hyperlink ref="B428" r:id="rId_hyperlink_853" tooltip="https://www.diodes.com/datasheet/download/DMN2991UDA.pdf" display="https://www.diodes.com/datasheet/download/DMN2991UDA.pdf"/>
    <hyperlink ref="C428" r:id="rId_hyperlink_854" tooltip="DMN2991UDA" display="DMN2991UDA"/>
    <hyperlink ref="B429" r:id="rId_hyperlink_855" tooltip="https://www.diodes.com/datasheet/download/DMN2991UDJ.pdf" display="https://www.diodes.com/datasheet/download/DMN2991UDJ.pdf"/>
    <hyperlink ref="C429" r:id="rId_hyperlink_856" tooltip="DMN2991UDJ" display="DMN2991UDJ"/>
    <hyperlink ref="B430" r:id="rId_hyperlink_857" tooltip="https://www.diodes.com/datasheet/download/DMN2991UDR4.pdf" display="https://www.diodes.com/datasheet/download/DMN2991UDR4.pdf"/>
    <hyperlink ref="C430" r:id="rId_hyperlink_858" tooltip="DMN2991UDR4" display="DMN2991UDR4"/>
    <hyperlink ref="B431" r:id="rId_hyperlink_859" tooltip="https://www.diodes.com/datasheet/download/DMN2991UFA.pdf" display="https://www.diodes.com/datasheet/download/DMN2991UFA.pdf"/>
    <hyperlink ref="C431" r:id="rId_hyperlink_860" tooltip="DMN2991UFA" display="DMN2991UFA"/>
    <hyperlink ref="B432" r:id="rId_hyperlink_861" tooltip="https://www.diodes.com/datasheet/download/DMN2991UFB4.pdf" display="https://www.diodes.com/datasheet/download/DMN2991UFB4.pdf"/>
    <hyperlink ref="C432" r:id="rId_hyperlink_862" tooltip="DMN2991UFB4" display="DMN2991UFB4"/>
    <hyperlink ref="B433" r:id="rId_hyperlink_863" tooltip="https://www.diodes.com/datasheet/download/DMN2991UFB4Q.pdf" display="https://www.diodes.com/datasheet/download/DMN2991UFB4Q.pdf"/>
    <hyperlink ref="C433" r:id="rId_hyperlink_864" tooltip="DMN2991UFB4Q" display="DMN2991UFB4Q"/>
    <hyperlink ref="B434" r:id="rId_hyperlink_865" tooltip="https://www.diodes.com/datasheet/download/DMN2991UFO.pdf" display="https://www.diodes.com/datasheet/download/DMN2991UFO.pdf"/>
    <hyperlink ref="C434" r:id="rId_hyperlink_866" tooltip="DMN2991UFO" display="DMN2991UFO"/>
    <hyperlink ref="B435" r:id="rId_hyperlink_867" tooltip="https://www.diodes.com/datasheet/download/DMN2991UFZ.pdf" display="https://www.diodes.com/datasheet/download/DMN2991UFZ.pdf"/>
    <hyperlink ref="C435" r:id="rId_hyperlink_868" tooltip="DMN2991UFZ" display="DMN2991UFZ"/>
    <hyperlink ref="B436" r:id="rId_hyperlink_869" tooltip="https://www.diodes.com/datasheet/download/DMN2991UFZQ.pdf" display="https://www.diodes.com/datasheet/download/DMN2991UFZQ.pdf"/>
    <hyperlink ref="C436" r:id="rId_hyperlink_870" tooltip="DMN2991UFZQ" display="DMN2991UFZQ"/>
    <hyperlink ref="B437" r:id="rId_hyperlink_871" tooltip="https://www.diodes.com/datasheet/download/DMN2991UT.pdf" display="https://www.diodes.com/datasheet/download/DMN2991UT.pdf"/>
    <hyperlink ref="C437" r:id="rId_hyperlink_872" tooltip="DMN2991UT" display="DMN2991UT"/>
    <hyperlink ref="B438" r:id="rId_hyperlink_873" tooltip="https://www.diodes.com/datasheet/download/DMN2991UTQ.pdf" display="https://www.diodes.com/datasheet/download/DMN2991UTQ.pdf"/>
    <hyperlink ref="C438" r:id="rId_hyperlink_874" tooltip="DMN2991UTQ" display="DMN2991UTQ"/>
    <hyperlink ref="B439" r:id="rId_hyperlink_875" tooltip="https://www.diodes.com/datasheet/download/DMN2992UDR4.pdf" display="https://www.diodes.com/datasheet/download/DMN2992UDR4.pdf"/>
    <hyperlink ref="C439" r:id="rId_hyperlink_876" tooltip="DMN2992UDR4" display="DMN2992UDR4"/>
    <hyperlink ref="B440" r:id="rId_hyperlink_877" tooltip="https://www.diodes.com/datasheet/download/DMN2992UFA.pdf" display="https://www.diodes.com/datasheet/download/DMN2992UFA.pdf"/>
    <hyperlink ref="C440" r:id="rId_hyperlink_878" tooltip="DMN2992UFA" display="DMN2992UFA"/>
    <hyperlink ref="B441" r:id="rId_hyperlink_879" tooltip="https://www.diodes.com/datasheet/download/DMN2992UFB4.pdf" display="https://www.diodes.com/datasheet/download/DMN2992UFB4.pdf"/>
    <hyperlink ref="C441" r:id="rId_hyperlink_880" tooltip="DMN2992UFB4" display="DMN2992UFB4"/>
    <hyperlink ref="B442" r:id="rId_hyperlink_881" tooltip="https://www.diodes.com/datasheet/download/DMN2992UFB4Q.pdf" display="https://www.diodes.com/datasheet/download/DMN2992UFB4Q.pdf"/>
    <hyperlink ref="C442" r:id="rId_hyperlink_882" tooltip="DMN2992UFB4Q" display="DMN2992UFB4Q"/>
    <hyperlink ref="B443" r:id="rId_hyperlink_883" tooltip="https://www.diodes.com/datasheet/download/DMN2992UFO.pdf" display="https://www.diodes.com/datasheet/download/DMN2992UFO.pdf"/>
    <hyperlink ref="C443" r:id="rId_hyperlink_884" tooltip="DMN2992UFO" display="DMN2992UFO"/>
    <hyperlink ref="B444" r:id="rId_hyperlink_885" tooltip="https://www.diodes.com/datasheet/download/DMN2992UFZ.pdf" display="https://www.diodes.com/datasheet/download/DMN2992UFZ.pdf"/>
    <hyperlink ref="C444" r:id="rId_hyperlink_886" tooltip="DMN2992UFZ" display="DMN2992UFZ"/>
    <hyperlink ref="B445" r:id="rId_hyperlink_887" tooltip="https://www.diodes.com/datasheet/download/DMN29M9UFDF.pdf" display="https://www.diodes.com/datasheet/download/DMN29M9UFDF.pdf"/>
    <hyperlink ref="C445" r:id="rId_hyperlink_888" tooltip="DMN29M9UFDF" display="DMN29M9UFDF"/>
    <hyperlink ref="B446" r:id="rId_hyperlink_889" tooltip="https://www.diodes.com/datasheet/download/DMN3006SCA6.pdf" display="https://www.diodes.com/datasheet/download/DMN3006SCA6.pdf"/>
    <hyperlink ref="C446" r:id="rId_hyperlink_890" tooltip="DMN3006SCA6" display="DMN3006SCA6"/>
    <hyperlink ref="B447" r:id="rId_hyperlink_891" tooltip="https://www.diodes.com/datasheet/download/DMN3007LSS.pdf" display="https://www.diodes.com/datasheet/download/DMN3007LSS.pdf"/>
    <hyperlink ref="C447" r:id="rId_hyperlink_892" tooltip="DMN3007LSS" display="DMN3007LSS"/>
    <hyperlink ref="B448" r:id="rId_hyperlink_893" tooltip="https://www.diodes.com/datasheet/download/DMN3007LSSQ.pdf" display="https://www.diodes.com/datasheet/download/DMN3007LSSQ.pdf"/>
    <hyperlink ref="C448" r:id="rId_hyperlink_894" tooltip="DMN3007LSSQ" display="DMN3007LSSQ"/>
    <hyperlink ref="B449" r:id="rId_hyperlink_895" tooltip="https://www.diodes.com/datasheet/download/DMN3008SCP10.pdf" display="https://www.diodes.com/datasheet/download/DMN3008SCP10.pdf"/>
    <hyperlink ref="C449" r:id="rId_hyperlink_896" tooltip="DMN3008SCP10" display="DMN3008SCP10"/>
    <hyperlink ref="B450" r:id="rId_hyperlink_897" tooltip="https://www.diodes.com/datasheet/download/DMN3008SFG.pdf" display="https://www.diodes.com/datasheet/download/DMN3008SFG.pdf"/>
    <hyperlink ref="C450" r:id="rId_hyperlink_898" tooltip="DMN3008SFG" display="DMN3008SFG"/>
    <hyperlink ref="B451" r:id="rId_hyperlink_899" tooltip="https://www.diodes.com/datasheet/download/DMN3008SFGQ.pdf" display="https://www.diodes.com/datasheet/download/DMN3008SFGQ.pdf"/>
    <hyperlink ref="C451" r:id="rId_hyperlink_900" tooltip="DMN3008SFGQ" display="DMN3008SFGQ"/>
    <hyperlink ref="B452" r:id="rId_hyperlink_901" tooltip="https://www.diodes.com/datasheet/download/DMN3009LFV.pdf" display="https://www.diodes.com/datasheet/download/DMN3009LFV.pdf"/>
    <hyperlink ref="C452" r:id="rId_hyperlink_902" tooltip="DMN3009LFV" display="DMN3009LFV"/>
    <hyperlink ref="B453" r:id="rId_hyperlink_903" tooltip="https://www.diodes.com/datasheet/download/DMN3009LFVQ.pdf" display="https://www.diodes.com/datasheet/download/DMN3009LFVQ.pdf"/>
    <hyperlink ref="C453" r:id="rId_hyperlink_904" tooltip="DMN3009LFVQ" display="DMN3009LFVQ"/>
    <hyperlink ref="B454" r:id="rId_hyperlink_905" tooltip="https://www.diodes.com/datasheet/download/DMN3009LFVW.pdf" display="https://www.diodes.com/datasheet/download/DMN3009LFVW.pdf"/>
    <hyperlink ref="C454" r:id="rId_hyperlink_906" tooltip="DMN3009LFVW" display="DMN3009LFVW"/>
    <hyperlink ref="B455" r:id="rId_hyperlink_907" tooltip="https://www.diodes.com/datasheet/download/DMN3009LFVWQ.pdf" display="https://www.diodes.com/datasheet/download/DMN3009LFVWQ.pdf"/>
    <hyperlink ref="C455" r:id="rId_hyperlink_908" tooltip="DMN3009LFVWQ" display="DMN3009LFVWQ"/>
    <hyperlink ref="B456" r:id="rId_hyperlink_909" tooltip="https://www.diodes.com/datasheet/download/DMN3009SFG.pdf" display="https://www.diodes.com/datasheet/download/DMN3009SFG.pdf"/>
    <hyperlink ref="C456" r:id="rId_hyperlink_910" tooltip="DMN3009SFG" display="DMN3009SFG"/>
    <hyperlink ref="B457" r:id="rId_hyperlink_911" tooltip="https://www.diodes.com/datasheet/download/DMN3009SFGQ.pdf" display="https://www.diodes.com/datasheet/download/DMN3009SFGQ.pdf"/>
    <hyperlink ref="C457" r:id="rId_hyperlink_912" tooltip="DMN3009SFGQ" display="DMN3009SFGQ"/>
    <hyperlink ref="B458" r:id="rId_hyperlink_913" tooltip="https://www.diodes.com/datasheet/download/DMN3009SK3.pdf" display="https://www.diodes.com/datasheet/download/DMN3009SK3.pdf"/>
    <hyperlink ref="C458" r:id="rId_hyperlink_914" tooltip="DMN3009SK3" display="DMN3009SK3"/>
    <hyperlink ref="B459" r:id="rId_hyperlink_915" tooltip="https://www.diodes.com/datasheet/download/DMN3009SSS.pdf" display="https://www.diodes.com/datasheet/download/DMN3009SSS.pdf"/>
    <hyperlink ref="C459" r:id="rId_hyperlink_916" tooltip="DMN3009SSS" display="DMN3009SSS"/>
    <hyperlink ref="B460" r:id="rId_hyperlink_917" tooltip="https://www.diodes.com/datasheet/download/DMN3010LFG.pdf" display="https://www.diodes.com/datasheet/download/DMN3010LFG.pdf"/>
    <hyperlink ref="C460" r:id="rId_hyperlink_918" tooltip="DMN3010LFG" display="DMN3010LFG"/>
    <hyperlink ref="B461" r:id="rId_hyperlink_919" tooltip="https://www.diodes.com/datasheet/download/DMN3010LK3.pdf" display="https://www.diodes.com/datasheet/download/DMN3010LK3.pdf"/>
    <hyperlink ref="C461" r:id="rId_hyperlink_920" tooltip="DMN3010LK3" display="DMN3010LK3"/>
    <hyperlink ref="B462" r:id="rId_hyperlink_921" tooltip="https://www.diodes.com/datasheet/download/DMN3010LSS.pdf" display="https://www.diodes.com/datasheet/download/DMN3010LSS.pdf"/>
    <hyperlink ref="C462" r:id="rId_hyperlink_922" tooltip="DMN3010LSS" display="DMN3010LSS"/>
    <hyperlink ref="B463" r:id="rId_hyperlink_923" tooltip="https://www.diodes.com/datasheet/download/DMN3011LFVW.pdf" display="https://www.diodes.com/datasheet/download/DMN3011LFVW.pdf"/>
    <hyperlink ref="C463" r:id="rId_hyperlink_924" tooltip="DMN3011LFVW" display="DMN3011LFVW"/>
    <hyperlink ref="B464" r:id="rId_hyperlink_925" tooltip="https://www.diodes.com/datasheet/download/DMN3011LFVWQ.pdf" display="https://www.diodes.com/datasheet/download/DMN3011LFVWQ.pdf"/>
    <hyperlink ref="C464" r:id="rId_hyperlink_926" tooltip="DMN3011LFVWQ" display="DMN3011LFVWQ"/>
    <hyperlink ref="B465" r:id="rId_hyperlink_927" tooltip="https://www.diodes.com/datasheet/download/DMN3011LSS.pdf" display="https://www.diodes.com/datasheet/download/DMN3011LSS.pdf"/>
    <hyperlink ref="C465" r:id="rId_hyperlink_928" tooltip="DMN3011LSS" display="DMN3011LSS"/>
    <hyperlink ref="B466" r:id="rId_hyperlink_929" tooltip="https://www.diodes.com/datasheet/download/DMN3011LSSQ.pdf" display="https://www.diodes.com/datasheet/download/DMN3011LSSQ.pdf"/>
    <hyperlink ref="C466" r:id="rId_hyperlink_930" tooltip="DMN3011LSSQ" display="DMN3011LSSQ"/>
    <hyperlink ref="B467" r:id="rId_hyperlink_931" tooltip="https://www.diodes.com/datasheet/download/DMN3012LEG.pdf" display="https://www.diodes.com/datasheet/download/DMN3012LEG.pdf"/>
    <hyperlink ref="C467" r:id="rId_hyperlink_932" tooltip="DMN3012LEG" display="DMN3012LEG"/>
    <hyperlink ref="B468" r:id="rId_hyperlink_933" tooltip="https://www.diodes.com/datasheet/download/DMN3012LFG.pdf" display="https://www.diodes.com/datasheet/download/DMN3012LFG.pdf"/>
    <hyperlink ref="C468" r:id="rId_hyperlink_934" tooltip="DMN3012LFG" display="DMN3012LFG"/>
    <hyperlink ref="B469" r:id="rId_hyperlink_935" tooltip="https://www.diodes.com/datasheet/download/DMN3013LDG.pdf" display="https://www.diodes.com/datasheet/download/DMN3013LDG.pdf"/>
    <hyperlink ref="C469" r:id="rId_hyperlink_936" tooltip="DMN3013LDG" display="DMN3013LDG"/>
    <hyperlink ref="B470" r:id="rId_hyperlink_937" tooltip="https://www.diodes.com/datasheet/download/DMN3013LFG.pdf" display="https://www.diodes.com/datasheet/download/DMN3013LFG.pdf"/>
    <hyperlink ref="C470" r:id="rId_hyperlink_938" tooltip="DMN3013LFG" display="DMN3013LFG"/>
    <hyperlink ref="B471" r:id="rId_hyperlink_939" tooltip="https://www.diodes.com/datasheet/download/DMN3015LSD.pdf" display="https://www.diodes.com/datasheet/download/DMN3015LSD.pdf"/>
    <hyperlink ref="C471" r:id="rId_hyperlink_940" tooltip="DMN3015LSD" display="DMN3015LSD"/>
    <hyperlink ref="B472" r:id="rId_hyperlink_941" tooltip="https://www.diodes.com/datasheet/download/DMN3016LDN.pdf" display="https://www.diodes.com/datasheet/download/DMN3016LDN.pdf"/>
    <hyperlink ref="C472" r:id="rId_hyperlink_942" tooltip="DMN3016LDN" display="DMN3016LDN"/>
    <hyperlink ref="B473" r:id="rId_hyperlink_943" tooltip="https://www.diodes.com/datasheet/download/DMN3016LDV.pdf" display="https://www.diodes.com/datasheet/download/DMN3016LDV.pdf"/>
    <hyperlink ref="C473" r:id="rId_hyperlink_944" tooltip="DMN3016LDV" display="DMN3016LDV"/>
    <hyperlink ref="B474" r:id="rId_hyperlink_945" tooltip="https://www.diodes.com/datasheet/download/DMN3016LFDE.pdf" display="https://www.diodes.com/datasheet/download/DMN3016LFDE.pdf"/>
    <hyperlink ref="C474" r:id="rId_hyperlink_946" tooltip="DMN3016LFDE" display="DMN3016LFDE"/>
    <hyperlink ref="B475" r:id="rId_hyperlink_947" tooltip="https://www.diodes.com/datasheet/download/DMN3016LFDF.pdf" display="https://www.diodes.com/datasheet/download/DMN3016LFDF.pdf"/>
    <hyperlink ref="C475" r:id="rId_hyperlink_948" tooltip="DMN3016LFDF" display="DMN3016LFDF"/>
    <hyperlink ref="B476" r:id="rId_hyperlink_949" tooltip="https://www.diodes.com/datasheet/download/DMN3016LFDFQ.pdf" display="https://www.diodes.com/datasheet/download/DMN3016LFDFQ.pdf"/>
    <hyperlink ref="C476" r:id="rId_hyperlink_950" tooltip="DMN3016LFDFQ" display="DMN3016LFDFQ"/>
    <hyperlink ref="B477" r:id="rId_hyperlink_951" tooltip="https://www.diodes.com/datasheet/download/DMN3016LK3.pdf" display="https://www.diodes.com/datasheet/download/DMN3016LK3.pdf"/>
    <hyperlink ref="C477" r:id="rId_hyperlink_952" tooltip="DMN3016LK3" display="DMN3016LK3"/>
    <hyperlink ref="B478" r:id="rId_hyperlink_953" tooltip="https://www.diodes.com/datasheet/download/DMN3016LPS.pdf" display="https://www.diodes.com/datasheet/download/DMN3016LPS.pdf"/>
    <hyperlink ref="C478" r:id="rId_hyperlink_954" tooltip="DMN3016LPS" display="DMN3016LPS"/>
    <hyperlink ref="B479" r:id="rId_hyperlink_955" tooltip="https://www.diodes.com/datasheet/download/DMN3016LSS.pdf" display="https://www.diodes.com/datasheet/download/DMN3016LSS.pdf"/>
    <hyperlink ref="C479" r:id="rId_hyperlink_956" tooltip="DMN3016LSS" display="DMN3016LSS"/>
    <hyperlink ref="B480" r:id="rId_hyperlink_957" tooltip="https://www.diodes.com/datasheet/download/DMN3018SFG.pdf" display="https://www.diodes.com/datasheet/download/DMN3018SFG.pdf"/>
    <hyperlink ref="C480" r:id="rId_hyperlink_958" tooltip="DMN3018SFG" display="DMN3018SFG"/>
    <hyperlink ref="B481" r:id="rId_hyperlink_959" tooltip="https://www.diodes.com/datasheet/download/DMN3018SSD.pdf" display="https://www.diodes.com/datasheet/download/DMN3018SSD.pdf"/>
    <hyperlink ref="C481" r:id="rId_hyperlink_960" tooltip="DMN3018SSD" display="DMN3018SSD"/>
    <hyperlink ref="B482" r:id="rId_hyperlink_961" tooltip="https://www.diodes.com/datasheet/download/DMN3018SSS.pdf" display="https://www.diodes.com/datasheet/download/DMN3018SSS.pdf"/>
    <hyperlink ref="C482" r:id="rId_hyperlink_962" tooltip="DMN3018SSS" display="DMN3018SSS"/>
    <hyperlink ref="B483" r:id="rId_hyperlink_963" tooltip="https://www.diodes.com/datasheet/download/DMN3020UFDF.pdf" display="https://www.diodes.com/datasheet/download/DMN3020UFDF.pdf"/>
    <hyperlink ref="C483" r:id="rId_hyperlink_964" tooltip="DMN3020UFDF" display="DMN3020UFDF"/>
    <hyperlink ref="B484" r:id="rId_hyperlink_965" tooltip="https://www.diodes.com/datasheet/download/DMN3020UFDFQ.pdf" display="https://www.diodes.com/datasheet/download/DMN3020UFDFQ.pdf"/>
    <hyperlink ref="C484" r:id="rId_hyperlink_966" tooltip="DMN3020UFDFQ" display="DMN3020UFDFQ"/>
    <hyperlink ref="B485" r:id="rId_hyperlink_967" tooltip="https://www.diodes.com/datasheet/download/DMN3020UTS.pdf" display="https://www.diodes.com/datasheet/download/DMN3020UTS.pdf"/>
    <hyperlink ref="C485" r:id="rId_hyperlink_968" tooltip="DMN3020UTS" display="DMN3020UTS"/>
    <hyperlink ref="B486" r:id="rId_hyperlink_969" tooltip="https://www.diodes.com/datasheet/download/DMN3021LFDF.pdf" display="https://www.diodes.com/datasheet/download/DMN3021LFDF.pdf"/>
    <hyperlink ref="C486" r:id="rId_hyperlink_970" tooltip="DMN3021LFDF" display="DMN3021LFDF"/>
    <hyperlink ref="B487" r:id="rId_hyperlink_971" tooltip="https://www.diodes.com/datasheet/download/DMN3022LDG.pdf" display="https://www.diodes.com/datasheet/download/DMN3022LDG.pdf"/>
    <hyperlink ref="C487" r:id="rId_hyperlink_972" tooltip="DMN3022LDG" display="DMN3022LDG"/>
    <hyperlink ref="B488" r:id="rId_hyperlink_973" tooltip="https://www.diodes.com/datasheet/download/DMN3022LFG.pdf" display="https://www.diodes.com/datasheet/download/DMN3022LFG.pdf"/>
    <hyperlink ref="C488" r:id="rId_hyperlink_974" tooltip="DMN3022LFG" display="DMN3022LFG"/>
    <hyperlink ref="B489" r:id="rId_hyperlink_975" tooltip="https://www.diodes.com/datasheet/download/DMN3023L.pdf" display="https://www.diodes.com/datasheet/download/DMN3023L.pdf"/>
    <hyperlink ref="C489" r:id="rId_hyperlink_976" tooltip="DMN3023L" display="DMN3023L"/>
    <hyperlink ref="B490" r:id="rId_hyperlink_977" tooltip="https://www.diodes.com/datasheet/download/DMN3024LK3.pdf" display="https://www.diodes.com/datasheet/download/DMN3024LK3.pdf"/>
    <hyperlink ref="C490" r:id="rId_hyperlink_978" tooltip="DMN3024LK3" display="DMN3024LK3"/>
    <hyperlink ref="B491" r:id="rId_hyperlink_979" tooltip="https://www.diodes.com/datasheet/download/DMN3024LSD.pdf" display="https://www.diodes.com/datasheet/download/DMN3024LSD.pdf"/>
    <hyperlink ref="C491" r:id="rId_hyperlink_980" tooltip="DMN3024LSD" display="DMN3024LSD"/>
    <hyperlink ref="B492" r:id="rId_hyperlink_981" tooltip="https://www.diodes.com/datasheet/download/DMN3024LSS.pdf" display="https://www.diodes.com/datasheet/download/DMN3024LSS.pdf"/>
    <hyperlink ref="C492" r:id="rId_hyperlink_982" tooltip="DMN3024LSS" display="DMN3024LSS"/>
    <hyperlink ref="B493" r:id="rId_hyperlink_983" tooltip="https://www.diodes.com/datasheet/download/DMN3024SFG.pdf" display="https://www.diodes.com/datasheet/download/DMN3024SFG.pdf"/>
    <hyperlink ref="C493" r:id="rId_hyperlink_984" tooltip="DMN3024SFG" display="DMN3024SFG"/>
    <hyperlink ref="B494" r:id="rId_hyperlink_985" tooltip="https://www.diodes.com/datasheet/download/DMN3025LFDF.pdf" display="https://www.diodes.com/datasheet/download/DMN3025LFDF.pdf"/>
    <hyperlink ref="C494" r:id="rId_hyperlink_986" tooltip="DMN3025LFDF" display="DMN3025LFDF"/>
    <hyperlink ref="B495" r:id="rId_hyperlink_987" tooltip="https://www.diodes.com/datasheet/download/DMN3025LFG.pdf" display="https://www.diodes.com/datasheet/download/DMN3025LFG.pdf"/>
    <hyperlink ref="C495" r:id="rId_hyperlink_988" tooltip="DMN3025LFG" display="DMN3025LFG"/>
    <hyperlink ref="B496" r:id="rId_hyperlink_989" tooltip="https://www.diodes.com/datasheet/download/DMN3025LFV.pdf" display="https://www.diodes.com/datasheet/download/DMN3025LFV.pdf"/>
    <hyperlink ref="C496" r:id="rId_hyperlink_990" tooltip="DMN3025LFV" display="DMN3025LFV"/>
    <hyperlink ref="B497" r:id="rId_hyperlink_991" tooltip="https://www.diodes.com/datasheet/download/DMN3025LSS.pdf" display="https://www.diodes.com/datasheet/download/DMN3025LSS.pdf"/>
    <hyperlink ref="C497" r:id="rId_hyperlink_992" tooltip="DMN3025LSS" display="DMN3025LSS"/>
    <hyperlink ref="B498" r:id="rId_hyperlink_993" tooltip="https://www.diodes.com/datasheet/download/DMN3026LVT.pdf" display="https://www.diodes.com/datasheet/download/DMN3026LVT.pdf"/>
    <hyperlink ref="C498" r:id="rId_hyperlink_994" tooltip="DMN3026LVT" display="DMN3026LVT"/>
    <hyperlink ref="B499" r:id="rId_hyperlink_995" tooltip="https://www.diodes.com/datasheet/download/DMN3026LVTQ.pdf" display="https://www.diodes.com/datasheet/download/DMN3026LVTQ.pdf"/>
    <hyperlink ref="C499" r:id="rId_hyperlink_996" tooltip="DMN3026LVTQ" display="DMN3026LVTQ"/>
    <hyperlink ref="B500" r:id="rId_hyperlink_997" tooltip="https://www.diodes.com/datasheet/download/DMN3027LFG.pdf" display="https://www.diodes.com/datasheet/download/DMN3027LFG.pdf"/>
    <hyperlink ref="C500" r:id="rId_hyperlink_998" tooltip="DMN3027LFG" display="DMN3027LFG"/>
    <hyperlink ref="B501" r:id="rId_hyperlink_999" tooltip="https://www.diodes.com/datasheet/download/DMN3028L.pdf" display="https://www.diodes.com/datasheet/download/DMN3028L.pdf"/>
    <hyperlink ref="C501" r:id="rId_hyperlink_1000" tooltip="DMN3028L" display="DMN3028L"/>
    <hyperlink ref="B502" r:id="rId_hyperlink_1001" tooltip="https://www.diodes.com/datasheet/download/DMN3028LQ.pdf" display="https://www.diodes.com/datasheet/download/DMN3028LQ.pdf"/>
    <hyperlink ref="C502" r:id="rId_hyperlink_1002" tooltip="DMN3028LQ" display="DMN3028LQ"/>
    <hyperlink ref="B503" r:id="rId_hyperlink_1003" tooltip="https://www.diodes.com/datasheet/download/DMN3029LFG.pdf" display="https://www.diodes.com/datasheet/download/DMN3029LFG.pdf"/>
    <hyperlink ref="C503" r:id="rId_hyperlink_1004" tooltip="DMN3029LFG" display="DMN3029LFG"/>
    <hyperlink ref="B504" r:id="rId_hyperlink_1005" tooltip="https://www.diodes.com/datasheet/download/DMN3030LSS.pdf" display="https://www.diodes.com/datasheet/download/DMN3030LSS.pdf"/>
    <hyperlink ref="C504" r:id="rId_hyperlink_1006" tooltip="DMN3030LSS" display="DMN3030LSS"/>
    <hyperlink ref="B505" r:id="rId_hyperlink_1007" tooltip="https://www.diodes.com/datasheet/download/DMN3032L.pdf" display="https://www.diodes.com/datasheet/download/DMN3032L.pdf"/>
    <hyperlink ref="C505" r:id="rId_hyperlink_1008" tooltip="DMN3032L" display="DMN3032L"/>
    <hyperlink ref="B506" r:id="rId_hyperlink_1009" tooltip="https://www.diodes.com/datasheet/download/DMN3032LE.pdf" display="https://www.diodes.com/datasheet/download/DMN3032LE.pdf"/>
    <hyperlink ref="C506" r:id="rId_hyperlink_1010" tooltip="DMN3032LE" display="DMN3032LE"/>
    <hyperlink ref="B507" r:id="rId_hyperlink_1011" tooltip="https://www.diodes.com/datasheet/download/DMN3032LFDB.pdf" display="https://www.diodes.com/datasheet/download/DMN3032LFDB.pdf"/>
    <hyperlink ref="C507" r:id="rId_hyperlink_1012" tooltip="DMN3032LFDB" display="DMN3032LFDB"/>
    <hyperlink ref="B508" r:id="rId_hyperlink_1013" tooltip="https://www.diodes.com/datasheet/download/DMN3032LFDBQ.pdf" display="https://www.diodes.com/datasheet/download/DMN3032LFDBQ.pdf"/>
    <hyperlink ref="C508" r:id="rId_hyperlink_1014" tooltip="DMN3032LFDBQ" display="DMN3032LFDBQ"/>
    <hyperlink ref="B509" r:id="rId_hyperlink_1015" tooltip="https://www.diodes.com/datasheet/download/DMN3032LFDBWQ.pdf" display="https://www.diodes.com/datasheet/download/DMN3032LFDBWQ.pdf"/>
    <hyperlink ref="C509" r:id="rId_hyperlink_1016" tooltip="DMN3032LFDBWQ" display="DMN3032LFDBWQ"/>
    <hyperlink ref="B510" r:id="rId_hyperlink_1017" tooltip="https://www.diodes.com/datasheet/download/DMN3032LQ.pdf" display="https://www.diodes.com/datasheet/download/DMN3032LQ.pdf"/>
    <hyperlink ref="C510" r:id="rId_hyperlink_1018" tooltip="DMN3032LQ" display="DMN3032LQ"/>
    <hyperlink ref="B511" r:id="rId_hyperlink_1019" tooltip="https://www.diodes.com/datasheet/download/DMN3033LDM.pdf" display="https://www.diodes.com/datasheet/download/DMN3033LDM.pdf"/>
    <hyperlink ref="C511" r:id="rId_hyperlink_1020" tooltip="DMN3033LDM" display="DMN3033LDM"/>
    <hyperlink ref="B512" r:id="rId_hyperlink_1021" tooltip="https://www.diodes.com/datasheet/download/DMN3033LSD.pdf" display="https://www.diodes.com/datasheet/download/DMN3033LSD.pdf"/>
    <hyperlink ref="C512" r:id="rId_hyperlink_1022" tooltip="DMN3033LSD" display="DMN3033LSD"/>
    <hyperlink ref="B513" r:id="rId_hyperlink_1023" tooltip="https://www.diodes.com/datasheet/download/DMN3033LSDQ.pdf" display="https://www.diodes.com/datasheet/download/DMN3033LSDQ.pdf"/>
    <hyperlink ref="C513" r:id="rId_hyperlink_1024" tooltip="DMN3033LSDQ" display="DMN3033LSDQ"/>
    <hyperlink ref="B514" r:id="rId_hyperlink_1025" tooltip="https://www.diodes.com/datasheet/download/DMN3033LSN.pdf" display="https://www.diodes.com/datasheet/download/DMN3033LSN.pdf"/>
    <hyperlink ref="C514" r:id="rId_hyperlink_1026" tooltip="DMN3033LSN" display="DMN3033LSN"/>
    <hyperlink ref="B515" r:id="rId_hyperlink_1027" tooltip="https://www.diodes.com/datasheet/download/DMN3033LSNQ.pdf" display="https://www.diodes.com/datasheet/download/DMN3033LSNQ.pdf"/>
    <hyperlink ref="C515" r:id="rId_hyperlink_1028" tooltip="DMN3033LSNQ" display="DMN3033LSNQ"/>
    <hyperlink ref="B516" r:id="rId_hyperlink_1029" tooltip="https://www.diodes.com/datasheet/download/DMN3035LWN.pdf" display="https://www.diodes.com/datasheet/download/DMN3035LWN.pdf"/>
    <hyperlink ref="C516" r:id="rId_hyperlink_1030" tooltip="DMN3035LWN" display="DMN3035LWN"/>
    <hyperlink ref="B517" r:id="rId_hyperlink_1031" tooltip="https://www.diodes.com/datasheet/download/DMN3042L.pdf" display="https://www.diodes.com/datasheet/download/DMN3042L.pdf"/>
    <hyperlink ref="C517" r:id="rId_hyperlink_1032" tooltip="DMN3042L" display="DMN3042L"/>
    <hyperlink ref="B518" r:id="rId_hyperlink_1033" tooltip="https://www.diodes.com/datasheet/download/DMN3042LFDF.pdf" display="https://www.diodes.com/datasheet/download/DMN3042LFDF.pdf"/>
    <hyperlink ref="C518" r:id="rId_hyperlink_1034" tooltip="DMN3042LFDF" display="DMN3042LFDF"/>
    <hyperlink ref="B519" r:id="rId_hyperlink_1035" tooltip="https://www.diodes.com/datasheet/download/DMN3051L.pdf" display="https://www.diodes.com/datasheet/download/DMN3051L.pdf"/>
    <hyperlink ref="C519" r:id="rId_hyperlink_1036" tooltip="DMN3051L" display="DMN3051L"/>
    <hyperlink ref="B520" r:id="rId_hyperlink_1037" tooltip="https://www.diodes.com/datasheet/download/DMN3051LDM.pdf" display="https://www.diodes.com/datasheet/download/DMN3051LDM.pdf"/>
    <hyperlink ref="C520" r:id="rId_hyperlink_1038" tooltip="DMN3051LDM" display="DMN3051LDM"/>
    <hyperlink ref="B521" r:id="rId_hyperlink_1039" tooltip="https://www.diodes.com/datasheet/download/DMN3053L.pdf" display="https://www.diodes.com/datasheet/download/DMN3053L.pdf"/>
    <hyperlink ref="C521" r:id="rId_hyperlink_1040" tooltip="DMN3053L" display="DMN3053L"/>
    <hyperlink ref="B522" r:id="rId_hyperlink_1041" tooltip="https://www.diodes.com/datasheet/download/DMN3055LFDB.pdf" display="https://www.diodes.com/datasheet/download/DMN3055LFDB.pdf"/>
    <hyperlink ref="C522" r:id="rId_hyperlink_1042" tooltip="DMN3055LFDB" display="DMN3055LFDB"/>
    <hyperlink ref="B523" r:id="rId_hyperlink_1043" tooltip="https://www.diodes.com/datasheet/download/DMN3055LFDBQ.pdf" display="https://www.diodes.com/datasheet/download/DMN3055LFDBQ.pdf"/>
    <hyperlink ref="C523" r:id="rId_hyperlink_1044" tooltip="DMN3055LFDBQ" display="DMN3055LFDBQ"/>
    <hyperlink ref="B524" r:id="rId_hyperlink_1045" tooltip="https://www.diodes.com/datasheet/download/DMN3060LCA3.pdf" display="https://www.diodes.com/datasheet/download/DMN3060LCA3.pdf"/>
    <hyperlink ref="C524" r:id="rId_hyperlink_1046" tooltip="DMN3060LCA3" display="DMN3060LCA3"/>
    <hyperlink ref="B525" r:id="rId_hyperlink_1047" tooltip="https://www.diodes.com/datasheet/download/DMN3060LVT.pdf" display="https://www.diodes.com/datasheet/download/DMN3060LVT.pdf"/>
    <hyperlink ref="C525" r:id="rId_hyperlink_1048" tooltip="DMN3060LVT" display="DMN3060LVT"/>
    <hyperlink ref="B526" r:id="rId_hyperlink_1049" tooltip="https://www.diodes.com/datasheet/download/DMN3060LW.pdf" display="https://www.diodes.com/datasheet/download/DMN3060LW.pdf"/>
    <hyperlink ref="C526" r:id="rId_hyperlink_1050" tooltip="DMN3060LW" display="DMN3060LW"/>
    <hyperlink ref="B527" r:id="rId_hyperlink_1051" tooltip="https://www.diodes.com/datasheet/download/DMN3060LWQ.pdf" display="https://www.diodes.com/datasheet/download/DMN3060LWQ.pdf"/>
    <hyperlink ref="C527" r:id="rId_hyperlink_1052" tooltip="DMN3060LWQ" display="DMN3060LWQ"/>
    <hyperlink ref="B528" r:id="rId_hyperlink_1053" tooltip="https://www.diodes.com/datasheet/download/DMN3061LCA3.pdf" display="https://www.diodes.com/datasheet/download/DMN3061LCA3.pdf"/>
    <hyperlink ref="C528" r:id="rId_hyperlink_1054" tooltip="DMN3061LCA3" display="DMN3061LCA3"/>
    <hyperlink ref="B529" r:id="rId_hyperlink_1055" tooltip="https://www.diodes.com/datasheet/download/DMN3061S.pdf" display="https://www.diodes.com/datasheet/download/DMN3061S.pdf"/>
    <hyperlink ref="C529" r:id="rId_hyperlink_1056" tooltip="DMN3061S" display="DMN3061S"/>
    <hyperlink ref="B530" r:id="rId_hyperlink_1057" tooltip="https://www.diodes.com/datasheet/download/DMN3061SQ.pdf" display="https://www.diodes.com/datasheet/download/DMN3061SQ.pdf"/>
    <hyperlink ref="C530" r:id="rId_hyperlink_1058" tooltip="DMN3061SQ" display="DMN3061SQ"/>
    <hyperlink ref="B531" r:id="rId_hyperlink_1059" tooltip="https://www.diodes.com/datasheet/download/DMN3061SVT.pdf" display="https://www.diodes.com/datasheet/download/DMN3061SVT.pdf"/>
    <hyperlink ref="C531" r:id="rId_hyperlink_1060" tooltip="DMN3061SVT" display="DMN3061SVT"/>
    <hyperlink ref="B532" r:id="rId_hyperlink_1061" tooltip="https://www.diodes.com/datasheet/download/DMN3061SVTQ.pdf" display="https://www.diodes.com/datasheet/download/DMN3061SVTQ.pdf"/>
    <hyperlink ref="C532" r:id="rId_hyperlink_1062" tooltip="DMN3061SVTQ" display="DMN3061SVTQ"/>
    <hyperlink ref="B533" r:id="rId_hyperlink_1063" tooltip="https://www.diodes.com/datasheet/download/DMN3061SW.pdf" display="https://www.diodes.com/datasheet/download/DMN3061SW.pdf"/>
    <hyperlink ref="C533" r:id="rId_hyperlink_1064" tooltip="DMN3061SW" display="DMN3061SW"/>
    <hyperlink ref="B534" r:id="rId_hyperlink_1065" tooltip="https://www.diodes.com/datasheet/download/DMN3061SWQ.pdf" display="https://www.diodes.com/datasheet/download/DMN3061SWQ.pdf"/>
    <hyperlink ref="C534" r:id="rId_hyperlink_1066" tooltip="DMN3061SWQ" display="DMN3061SWQ"/>
    <hyperlink ref="B535" r:id="rId_hyperlink_1067" tooltip="https://www.diodes.com/datasheet/download/DMN3065LW.pdf" display="https://www.diodes.com/datasheet/download/DMN3065LW.pdf"/>
    <hyperlink ref="C535" r:id="rId_hyperlink_1068" tooltip="DMN3065LW" display="DMN3065LW"/>
    <hyperlink ref="B536" r:id="rId_hyperlink_1069" tooltip="https://www.diodes.com/datasheet/download/DMN3066L.pdf" display="https://www.diodes.com/datasheet/download/DMN3066L.pdf"/>
    <hyperlink ref="C536" r:id="rId_hyperlink_1070" tooltip="DMN3066L" display="DMN3066L"/>
    <hyperlink ref="B537" r:id="rId_hyperlink_1071" tooltip="https://www.diodes.com/datasheet/download/DMN3066LQ.pdf" display="https://www.diodes.com/datasheet/download/DMN3066LQ.pdf"/>
    <hyperlink ref="C537" r:id="rId_hyperlink_1072" tooltip="DMN3066LQ" display="DMN3066LQ"/>
    <hyperlink ref="B538" r:id="rId_hyperlink_1073" tooltip="https://www.diodes.com/datasheet/download/DMN3066LVT.pdf" display="https://www.diodes.com/datasheet/download/DMN3066LVT.pdf"/>
    <hyperlink ref="C538" r:id="rId_hyperlink_1074" tooltip="DMN3066LVT" display="DMN3066LVT"/>
    <hyperlink ref="B539" r:id="rId_hyperlink_1075" tooltip="https://www.diodes.com/datasheet/download/DMN3066LVTQ.pdf" display="https://www.diodes.com/datasheet/download/DMN3066LVTQ.pdf"/>
    <hyperlink ref="C539" r:id="rId_hyperlink_1076" tooltip="DMN3066LVTQ" display="DMN3066LVTQ"/>
    <hyperlink ref="B540" r:id="rId_hyperlink_1077" tooltip="https://www.diodes.com/datasheet/download/DMN3067LW.pdf" display="https://www.diodes.com/datasheet/download/DMN3067LW.pdf"/>
    <hyperlink ref="C540" r:id="rId_hyperlink_1078" tooltip="DMN3067LW" display="DMN3067LW"/>
    <hyperlink ref="B541" r:id="rId_hyperlink_1079" tooltip="https://www.diodes.com/datasheet/download/DMN3069L.pdf" display="https://www.diodes.com/datasheet/download/DMN3069L.pdf"/>
    <hyperlink ref="C541" r:id="rId_hyperlink_1080" tooltip="DMN3069L" display="DMN3069L"/>
    <hyperlink ref="B542" r:id="rId_hyperlink_1081" tooltip="https://www.diodes.com/datasheet/download/DMN3070SSN.pdf" display="https://www.diodes.com/datasheet/download/DMN3070SSN.pdf"/>
    <hyperlink ref="C542" r:id="rId_hyperlink_1082" tooltip="DMN3070SSN" display="DMN3070SSN"/>
    <hyperlink ref="B543" r:id="rId_hyperlink_1083" tooltip="https://www.diodes.com/datasheet/download/DMN3071LFR4.pdf" display="https://www.diodes.com/datasheet/download/DMN3071LFR4.pdf"/>
    <hyperlink ref="C543" r:id="rId_hyperlink_1084" tooltip="DMN3071LFR4" display="DMN3071LFR4"/>
    <hyperlink ref="B544" r:id="rId_hyperlink_1085" tooltip="https://www.diodes.com/datasheet/download/DMN3071LVT.pdf" display="https://www.diodes.com/datasheet/download/DMN3071LVT.pdf"/>
    <hyperlink ref="C544" r:id="rId_hyperlink_1086" tooltip="DMN3071LVT" display="DMN3071LVT"/>
    <hyperlink ref="B545" r:id="rId_hyperlink_1087" tooltip="https://www.diodes.com/datasheet/download/DMN30H4D0L.pdf" display="https://www.diodes.com/datasheet/download/DMN30H4D0L.pdf"/>
    <hyperlink ref="C545" r:id="rId_hyperlink_1088" tooltip="DMN30H4D0L" display="DMN30H4D0L"/>
    <hyperlink ref="B546" r:id="rId_hyperlink_1089" tooltip="https://www.diodes.com/datasheet/download/DMN30H4D0LFDE.pdf" display="https://www.diodes.com/datasheet/download/DMN30H4D0LFDE.pdf"/>
    <hyperlink ref="C546" r:id="rId_hyperlink_1090" tooltip="DMN30H4D0LFDE" display="DMN30H4D0LFDE"/>
    <hyperlink ref="B547" r:id="rId_hyperlink_1091" tooltip="https://www.diodes.com/datasheet/download/DMN3110S.pdf" display="https://www.diodes.com/datasheet/download/DMN3110S.pdf"/>
    <hyperlink ref="C547" r:id="rId_hyperlink_1092" tooltip="DMN3110S" display="DMN3110S"/>
    <hyperlink ref="B548" r:id="rId_hyperlink_1093" tooltip="https://www.diodes.com/datasheet/download/DMN3112SQ.pdf" display="https://www.diodes.com/datasheet/download/DMN3112SQ.pdf"/>
    <hyperlink ref="C548" r:id="rId_hyperlink_1094" tooltip="DMN3112SQ" display="DMN3112SQ"/>
    <hyperlink ref="B549" r:id="rId_hyperlink_1095" tooltip="https://www.diodes.com/datasheet/download/DMN3135LVT.pdf" display="https://www.diodes.com/datasheet/download/DMN3135LVT.pdf"/>
    <hyperlink ref="C549" r:id="rId_hyperlink_1096" tooltip="DMN3135LVT" display="DMN3135LVT"/>
    <hyperlink ref="B550" r:id="rId_hyperlink_1097" tooltip="https://www.diodes.com/datasheet/download/DMN313DLT.pdf" display="https://www.diodes.com/datasheet/download/DMN313DLT.pdf"/>
    <hyperlink ref="C550" r:id="rId_hyperlink_1098" tooltip="DMN313DLT" display="DMN313DLT"/>
    <hyperlink ref="B551" r:id="rId_hyperlink_1099" tooltip="https://www.diodes.com/datasheet/download/DMN3150L.pdf" display="https://www.diodes.com/datasheet/download/DMN3150L.pdf"/>
    <hyperlink ref="C551" r:id="rId_hyperlink_1100" tooltip="DMN3150L" display="DMN3150L"/>
    <hyperlink ref="B552" r:id="rId_hyperlink_1101" tooltip="https://www.diodes.com/datasheet/download/DMN3150LW.pdf" display="https://www.diodes.com/datasheet/download/DMN3150LW.pdf"/>
    <hyperlink ref="C552" r:id="rId_hyperlink_1102" tooltip="DMN3150LW" display="DMN3150LW"/>
    <hyperlink ref="B553" r:id="rId_hyperlink_1103" tooltip="https://www.diodes.com/datasheet/download/DMN3190LDW.pdf" display="https://www.diodes.com/datasheet/download/DMN3190LDW.pdf"/>
    <hyperlink ref="C553" r:id="rId_hyperlink_1104" tooltip="DMN3190LDW" display="DMN3190LDW"/>
    <hyperlink ref="B554" r:id="rId_hyperlink_1105" tooltip="https://www.diodes.com/datasheet/download/DMN3190LDWQ.pdf" display="https://www.diodes.com/datasheet/download/DMN3190LDWQ.pdf"/>
    <hyperlink ref="C554" r:id="rId_hyperlink_1106" tooltip="DMN3190LDWQ" display="DMN3190LDWQ"/>
    <hyperlink ref="B555" r:id="rId_hyperlink_1107" tooltip="https://www.diodes.com/datasheet/download/DMN31D4UFZ.pdf" display="https://www.diodes.com/datasheet/download/DMN31D4UFZ.pdf"/>
    <hyperlink ref="C555" r:id="rId_hyperlink_1108" tooltip="DMN31D4UFZ" display="DMN31D4UFZ"/>
    <hyperlink ref="B556" r:id="rId_hyperlink_1109" tooltip="https://www.diodes.com/datasheet/download/DMN31D5L.pdf" display="https://www.diodes.com/datasheet/download/DMN31D5L.pdf"/>
    <hyperlink ref="C556" r:id="rId_hyperlink_1110" tooltip="DMN31D5L" display="DMN31D5L"/>
    <hyperlink ref="B557" r:id="rId_hyperlink_1111" tooltip="https://www.diodes.com/datasheet/download/DMN31D5UDA.pdf" display="https://www.diodes.com/datasheet/download/DMN31D5UDA.pdf"/>
    <hyperlink ref="C557" r:id="rId_hyperlink_1112" tooltip="DMN31D5UDA" display="DMN31D5UDA"/>
    <hyperlink ref="B558" r:id="rId_hyperlink_1113" tooltip="https://www.diodes.com/datasheet/download/DMN31D5UDAQ.pdf" display="https://www.diodes.com/datasheet/download/DMN31D5UDAQ.pdf"/>
    <hyperlink ref="C558" r:id="rId_hyperlink_1114" tooltip="DMN31D5UDAQ" display="DMN31D5UDAQ"/>
    <hyperlink ref="B559" r:id="rId_hyperlink_1115" tooltip="https://www.diodes.com/datasheet/download/DMN31D5UDJ.pdf" display="https://www.diodes.com/datasheet/download/DMN31D5UDJ.pdf"/>
    <hyperlink ref="C559" r:id="rId_hyperlink_1116" tooltip="DMN31D5UDJ" display="DMN31D5UDJ"/>
    <hyperlink ref="B560" r:id="rId_hyperlink_1117" tooltip="https://www.diodes.com/datasheet/download/DMN31D5UDR4.pdf" display="https://www.diodes.com/datasheet/download/DMN31D5UDR4.pdf"/>
    <hyperlink ref="C560" r:id="rId_hyperlink_1118" tooltip="DMN31D5UDR4" display="DMN31D5UDR4"/>
    <hyperlink ref="B561" r:id="rId_hyperlink_1119" tooltip="https://www.diodes.com/datasheet/download/DMN31D5UDW.pdf" display="https://www.diodes.com/datasheet/download/DMN31D5UDW.pdf"/>
    <hyperlink ref="C561" r:id="rId_hyperlink_1120" tooltip="DMN31D5UDW" display="DMN31D5UDW"/>
    <hyperlink ref="B562" r:id="rId_hyperlink_1121" tooltip="https://www.diodes.com/datasheet/download/DMN31D5UFA.pdf" display="https://www.diodes.com/datasheet/download/DMN31D5UFA.pdf"/>
    <hyperlink ref="C562" r:id="rId_hyperlink_1122" tooltip="DMN31D5UFA" display="DMN31D5UFA"/>
    <hyperlink ref="B563" r:id="rId_hyperlink_1123" tooltip="https://www.diodes.com/datasheet/download/DMN31D5UFO.pdf" display="https://www.diodes.com/datasheet/download/DMN31D5UFO.pdf"/>
    <hyperlink ref="C563" r:id="rId_hyperlink_1124" tooltip="DMN31D5UFO" display="DMN31D5UFO"/>
    <hyperlink ref="B564" r:id="rId_hyperlink_1125" tooltip="https://www.diodes.com/datasheet/download/DMN31D5UFZ.pdf" display="https://www.diodes.com/datasheet/download/DMN31D5UFZ.pdf"/>
    <hyperlink ref="C564" r:id="rId_hyperlink_1126" tooltip="DMN31D5UFZ" display="DMN31D5UFZ"/>
    <hyperlink ref="B565" r:id="rId_hyperlink_1127" tooltip="https://www.diodes.com/datasheet/download/DMN31D5UFZQ.pdf" display="https://www.diodes.com/datasheet/download/DMN31D5UFZQ.pdf"/>
    <hyperlink ref="C565" r:id="rId_hyperlink_1128" tooltip="DMN31D5UFZQ" display="DMN31D5UFZQ"/>
    <hyperlink ref="B566" r:id="rId_hyperlink_1129" tooltip="https://www.diodes.com/datasheet/download/DMN31D6UT.pdf" display="https://www.diodes.com/datasheet/download/DMN31D6UT.pdf"/>
    <hyperlink ref="C566" r:id="rId_hyperlink_1130" tooltip="DMN31D6UT" display="DMN31D6UT"/>
    <hyperlink ref="B567" r:id="rId_hyperlink_1131" tooltip="https://www.diodes.com/datasheet/download/DMN3200U.pdf" display="https://www.diodes.com/datasheet/download/DMN3200U.pdf"/>
    <hyperlink ref="C567" r:id="rId_hyperlink_1132" tooltip="DMN3200U" display="DMN3200U"/>
    <hyperlink ref="B568" r:id="rId_hyperlink_1133" tooltip="https://www.diodes.com/datasheet/download/DMN3270UVT.pdf" display="https://www.diodes.com/datasheet/download/DMN3270UVT.pdf"/>
    <hyperlink ref="C568" r:id="rId_hyperlink_1134" tooltip="DMN3270UVT" display="DMN3270UVT"/>
    <hyperlink ref="B569" r:id="rId_hyperlink_1135" tooltip="https://www.diodes.com/datasheet/download/DMN32D0LFB4.pdf" display="https://www.diodes.com/datasheet/download/DMN32D0LFB4.pdf"/>
    <hyperlink ref="C569" r:id="rId_hyperlink_1136" tooltip="DMN32D0LFB4" display="DMN32D0LFB4"/>
    <hyperlink ref="B570" r:id="rId_hyperlink_1137" tooltip="https://www.diodes.com/datasheet/download/DMN32D0LV.pdf" display="https://www.diodes.com/datasheet/download/DMN32D0LV.pdf"/>
    <hyperlink ref="C570" r:id="rId_hyperlink_1138" tooltip="DMN32D0LV" display="DMN32D0LV"/>
    <hyperlink ref="B571" r:id="rId_hyperlink_1139" tooltip="https://www.diodes.com/datasheet/download/DMN32D0LVQ.pdf" display="https://www.diodes.com/datasheet/download/DMN32D0LVQ.pdf"/>
    <hyperlink ref="C571" r:id="rId_hyperlink_1140" tooltip="DMN32D0LVQ" display="DMN32D0LVQ"/>
    <hyperlink ref="B572" r:id="rId_hyperlink_1141" tooltip="https://www.diodes.com/datasheet/download/DMN32D2LDF.pdf" display="https://www.diodes.com/datasheet/download/DMN32D2LDF.pdf"/>
    <hyperlink ref="C572" r:id="rId_hyperlink_1142" tooltip="DMN32D2LDF" display="DMN32D2LDF"/>
    <hyperlink ref="B573" r:id="rId_hyperlink_1143" tooltip="https://www.diodes.com/datasheet/download/DMN32D2LFB4.pdf" display="https://www.diodes.com/datasheet/download/DMN32D2LFB4.pdf"/>
    <hyperlink ref="C573" r:id="rId_hyperlink_1144" tooltip="DMN32D2LFB4" display="DMN32D2LFB4"/>
    <hyperlink ref="B574" r:id="rId_hyperlink_1145" tooltip="https://www.diodes.com/datasheet/download/DMN32D4SDW.pdf" display="https://www.diodes.com/datasheet/download/DMN32D4SDW.pdf"/>
    <hyperlink ref="C574" r:id="rId_hyperlink_1146" tooltip="DMN32D4SDW" display="DMN32D4SDW"/>
    <hyperlink ref="B575" r:id="rId_hyperlink_1147" tooltip="https://www.diodes.com/datasheet/download/DMN32M6LCA8.pdf" display="https://www.diodes.com/datasheet/download/DMN32M6LCA8.pdf"/>
    <hyperlink ref="C575" r:id="rId_hyperlink_1148" tooltip="DMN32M6LCA8" display="DMN32M6LCA8"/>
    <hyperlink ref="B576" r:id="rId_hyperlink_1149" tooltip="https://www.diodes.com/datasheet/download/DMN3300U.pdf" display="https://www.diodes.com/datasheet/download/DMN3300U.pdf"/>
    <hyperlink ref="C576" r:id="rId_hyperlink_1150" tooltip="DMN3300U" display="DMN3300U"/>
    <hyperlink ref="B577" r:id="rId_hyperlink_1151" tooltip="https://www.diodes.com/datasheet/download/DMN3300UQ.pdf" display="https://www.diodes.com/datasheet/download/DMN3300UQ.pdf"/>
    <hyperlink ref="C577" r:id="rId_hyperlink_1152" tooltip="DMN3300UQ" display="DMN3300UQ"/>
    <hyperlink ref="B578" r:id="rId_hyperlink_1153" tooltip="https://www.diodes.com/datasheet/download/DMN3350LDW.pdf" display="https://www.diodes.com/datasheet/download/DMN3350LDW.pdf"/>
    <hyperlink ref="C578" r:id="rId_hyperlink_1154" tooltip="DMN3350LDW" display="DMN3350LDW"/>
    <hyperlink ref="B579" r:id="rId_hyperlink_1155" tooltip="https://www.diodes.com/datasheet/download/DMN3350LDWQ.pdf" display="https://www.diodes.com/datasheet/download/DMN3350LDWQ.pdf"/>
    <hyperlink ref="C579" r:id="rId_hyperlink_1156" tooltip="DMN3350LDWQ" display="DMN3350LDWQ"/>
    <hyperlink ref="B580" r:id="rId_hyperlink_1157" tooltip="https://www.diodes.com/datasheet/download/DMN3350LFB.pdf" display="https://www.diodes.com/datasheet/download/DMN3350LFB.pdf"/>
    <hyperlink ref="C580" r:id="rId_hyperlink_1158" tooltip="DMN3350LFB" display="DMN3350LFB"/>
    <hyperlink ref="B581" r:id="rId_hyperlink_1159" tooltip="https://www.diodes.com/datasheet/download/DMN33D8L.pdf" display="https://www.diodes.com/datasheet/download/DMN33D8L.pdf"/>
    <hyperlink ref="C581" r:id="rId_hyperlink_1160" tooltip="DMN33D8L" display="DMN33D8L"/>
    <hyperlink ref="B582" r:id="rId_hyperlink_1161" tooltip="https://www.diodes.com/datasheet/download/DMN33D8LDW.pdf" display="https://www.diodes.com/datasheet/download/DMN33D8LDW.pdf"/>
    <hyperlink ref="C582" r:id="rId_hyperlink_1162" tooltip="DMN33D8LDW" display="DMN33D8LDW"/>
    <hyperlink ref="B583" r:id="rId_hyperlink_1163" tooltip="https://www.diodes.com/datasheet/download/DMN33D8LDWQ.pdf" display="https://www.diodes.com/datasheet/download/DMN33D8LDWQ.pdf"/>
    <hyperlink ref="C583" r:id="rId_hyperlink_1164" tooltip="DMN33D8LDWQ" display="DMN33D8LDWQ"/>
    <hyperlink ref="B584" r:id="rId_hyperlink_1165" tooltip="https://www.diodes.com/datasheet/download/DMN33D8LT.pdf" display="https://www.diodes.com/datasheet/download/DMN33D8LT.pdf"/>
    <hyperlink ref="C584" r:id="rId_hyperlink_1166" tooltip="DMN33D8LT" display="DMN33D8LT"/>
    <hyperlink ref="B585" r:id="rId_hyperlink_1167" tooltip="https://www.diodes.com/datasheet/download/DMN33D8LTQ.pdf" display="https://www.diodes.com/datasheet/download/DMN33D8LTQ.pdf"/>
    <hyperlink ref="C585" r:id="rId_hyperlink_1168" tooltip="DMN33D8LTQ" display="DMN33D8LTQ"/>
    <hyperlink ref="B586" r:id="rId_hyperlink_1169" tooltip="https://www.diodes.com/datasheet/download/DMN33D8LV.pdf" display="https://www.diodes.com/datasheet/download/DMN33D8LV.pdf"/>
    <hyperlink ref="C586" r:id="rId_hyperlink_1170" tooltip="DMN33D8LV" display="DMN33D8LV"/>
    <hyperlink ref="B587" r:id="rId_hyperlink_1171" tooltip="https://www.diodes.com/datasheet/download/DMN33D8LVQ.pdf" display="https://www.diodes.com/datasheet/download/DMN33D8LVQ.pdf"/>
    <hyperlink ref="C587" r:id="rId_hyperlink_1172" tooltip="DMN33D8LVQ" display="DMN33D8LVQ"/>
    <hyperlink ref="B588" r:id="rId_hyperlink_1173" tooltip="https://www.diodes.com/datasheet/download/DMN33D9LV.pdf" display="https://www.diodes.com/datasheet/download/DMN33D9LV.pdf"/>
    <hyperlink ref="C588" r:id="rId_hyperlink_1174" tooltip="DMN33D9LV" display="DMN33D9LV"/>
    <hyperlink ref="B589" r:id="rId_hyperlink_1175" tooltip="https://www.diodes.com/datasheet/download/DMN3401LDW.pdf" display="https://www.diodes.com/datasheet/download/DMN3401LDW.pdf"/>
    <hyperlink ref="C589" r:id="rId_hyperlink_1176" tooltip="DMN3401LDW" display="DMN3401LDW"/>
    <hyperlink ref="B590" r:id="rId_hyperlink_1177" tooltip="https://www.diodes.com/datasheet/download/DMN3401LDWQ.pdf" display="https://www.diodes.com/datasheet/download/DMN3401LDWQ.pdf"/>
    <hyperlink ref="C590" r:id="rId_hyperlink_1178" tooltip="DMN3401LDWQ" display="DMN3401LDWQ"/>
    <hyperlink ref="B591" r:id="rId_hyperlink_1179" tooltip="https://www.diodes.com/datasheet/download/DMN3401LV.pdf" display="https://www.diodes.com/datasheet/download/DMN3401LV.pdf"/>
    <hyperlink ref="C591" r:id="rId_hyperlink_1180" tooltip="DMN3401LV" display="DMN3401LV"/>
    <hyperlink ref="B592" r:id="rId_hyperlink_1181" tooltip="https://www.diodes.com/datasheet/download/DMN3401LVQ.pdf" display="https://www.diodes.com/datasheet/download/DMN3401LVQ.pdf"/>
    <hyperlink ref="C592" r:id="rId_hyperlink_1182" tooltip="DMN3401LVQ" display="DMN3401LVQ"/>
    <hyperlink ref="B593" r:id="rId_hyperlink_1183" tooltip="https://www.diodes.com/datasheet/download/DMN3404L.pdf" display="https://www.diodes.com/datasheet/download/DMN3404L.pdf"/>
    <hyperlink ref="C593" r:id="rId_hyperlink_1184" tooltip="DMN3404L" display="DMN3404L"/>
    <hyperlink ref="B594" r:id="rId_hyperlink_1185" tooltip="https://www.diodes.com/datasheet/download/DMN34D0U.pdf" display="https://www.diodes.com/datasheet/download/DMN34D0U.pdf"/>
    <hyperlink ref="C594" r:id="rId_hyperlink_1186" tooltip="DMN34D0U" display="DMN34D0U"/>
    <hyperlink ref="B595" r:id="rId_hyperlink_1187" tooltip="https://www.diodes.com/datasheet/download/DMN3730UFB.pdf" display="https://www.diodes.com/datasheet/download/DMN3730UFB.pdf"/>
    <hyperlink ref="C595" r:id="rId_hyperlink_1188" tooltip="DMN3730UFB" display="DMN3730UFB"/>
    <hyperlink ref="B596" r:id="rId_hyperlink_1189" tooltip="https://www.diodes.com/datasheet/download/DMN3730UFB4.pdf" display="https://www.diodes.com/datasheet/download/DMN3730UFB4.pdf"/>
    <hyperlink ref="C596" r:id="rId_hyperlink_1190" tooltip="DMN3730UFB4" display="DMN3730UFB4"/>
    <hyperlink ref="B597" r:id="rId_hyperlink_1191" tooltip="https://www.diodes.com/datasheet/download/DMN3731U.pdf" display="https://www.diodes.com/datasheet/download/DMN3731U.pdf"/>
    <hyperlink ref="C597" r:id="rId_hyperlink_1192" tooltip="DMN3731U" display="DMN3731U"/>
    <hyperlink ref="B598" r:id="rId_hyperlink_1193" tooltip="https://www.diodes.com/datasheet/download/DMN3731UFB4.pdf" display="https://www.diodes.com/datasheet/download/DMN3731UFB4.pdf"/>
    <hyperlink ref="C598" r:id="rId_hyperlink_1194" tooltip="DMN3731UFB4" display="DMN3731UFB4"/>
    <hyperlink ref="B599" r:id="rId_hyperlink_1195" tooltip="https://www.diodes.com/datasheet/download/DMN3732U.pdf" display="https://www.diodes.com/datasheet/download/DMN3732U.pdf"/>
    <hyperlink ref="C599" r:id="rId_hyperlink_1196" tooltip="DMN3732U" display="DMN3732U"/>
    <hyperlink ref="B600" r:id="rId_hyperlink_1197" tooltip="https://www.diodes.com/datasheet/download/DMN3732UFB4.pdf" display="https://www.diodes.com/datasheet/download/DMN3732UFB4.pdf"/>
    <hyperlink ref="C600" r:id="rId_hyperlink_1198" tooltip="DMN3732UFB4" display="DMN3732UFB4"/>
    <hyperlink ref="B601" r:id="rId_hyperlink_1199" tooltip="https://www.diodes.com/datasheet/download/DMN3732UFB4Q.pdf" display="https://www.diodes.com/datasheet/download/DMN3732UFB4Q.pdf"/>
    <hyperlink ref="C601" r:id="rId_hyperlink_1200" tooltip="DMN3732UFB4Q" display="DMN3732UFB4Q"/>
    <hyperlink ref="B602" r:id="rId_hyperlink_1201" tooltip="https://www.diodes.com/datasheet/download/DMN3732UQ.pdf" display="https://www.diodes.com/datasheet/download/DMN3732UQ.pdf"/>
    <hyperlink ref="C602" r:id="rId_hyperlink_1202" tooltip="DMN3732UQ" display="DMN3732UQ"/>
    <hyperlink ref="B603" r:id="rId_hyperlink_1203" tooltip="https://www.diodes.com/datasheet/download/DMN3732UVT.pdf" display="https://www.diodes.com/datasheet/download/DMN3732UVT.pdf"/>
    <hyperlink ref="C603" r:id="rId_hyperlink_1204" tooltip="DMN3732UVT" display="DMN3732UVT"/>
    <hyperlink ref="B604" r:id="rId_hyperlink_1205" tooltip="https://www.diodes.com/datasheet/download/DMN3732UVTQ.pdf" display="https://www.diodes.com/datasheet/download/DMN3732UVTQ.pdf"/>
    <hyperlink ref="C604" r:id="rId_hyperlink_1206" tooltip="DMN3732UVTQ" display="DMN3732UVTQ"/>
    <hyperlink ref="B605" r:id="rId_hyperlink_1207" tooltip="https://www.diodes.com/datasheet/download/DMN38M1SCA10.pdf" display="https://www.diodes.com/datasheet/download/DMN38M1SCA10.pdf"/>
    <hyperlink ref="C605" r:id="rId_hyperlink_1208" tooltip="DMN38M1SCA10" display="DMN38M1SCA10"/>
    <hyperlink ref="B606" r:id="rId_hyperlink_1209" tooltip="https://www.diodes.com/datasheet/download/DMN3900UFA.pdf" display="https://www.diodes.com/datasheet/download/DMN3900UFA.pdf"/>
    <hyperlink ref="C606" r:id="rId_hyperlink_1210" tooltip="DMN3900UFA" display="DMN3900UFA"/>
    <hyperlink ref="B607" r:id="rId_hyperlink_1211" tooltip="https://www.diodes.com/datasheet/download/DMN39M1LFVW.pdf" display="https://www.diodes.com/datasheet/download/DMN39M1LFVW.pdf"/>
    <hyperlink ref="C607" r:id="rId_hyperlink_1212" tooltip="DMN39M1LFVW" display="DMN39M1LFVW"/>
    <hyperlink ref="B608" r:id="rId_hyperlink_1213" tooltip="https://www.diodes.com/datasheet/download/DMN39M1LFVWQ.pdf" display="https://www.diodes.com/datasheet/download/DMN39M1LFVWQ.pdf"/>
    <hyperlink ref="C608" r:id="rId_hyperlink_1214" tooltip="DMN39M1LFVWQ" display="DMN39M1LFVWQ"/>
    <hyperlink ref="B609" r:id="rId_hyperlink_1215" tooltip="https://www.diodes.com/datasheet/download/DMN39M1LK3.pdf" display="https://www.diodes.com/datasheet/download/DMN39M1LK3.pdf"/>
    <hyperlink ref="C609" r:id="rId_hyperlink_1216" tooltip="DMN39M1LK3" display="DMN39M1LK3"/>
    <hyperlink ref="B610" r:id="rId_hyperlink_1217" tooltip="https://www.diodes.com/datasheet/download/DMN39M1LSS.pdf" display="https://www.diodes.com/datasheet/download/DMN39M1LSS.pdf"/>
    <hyperlink ref="C610" r:id="rId_hyperlink_1218" tooltip="DMN39M1LSS" display="DMN39M1LSS"/>
    <hyperlink ref="B611" r:id="rId_hyperlink_1219" tooltip="https://www.diodes.com/datasheet/download/DMN39M1LSSQ.pdf" display="https://www.diodes.com/datasheet/download/DMN39M1LSSQ.pdf"/>
    <hyperlink ref="C611" r:id="rId_hyperlink_1220" tooltip="DMN39M1LSSQ" display="DMN39M1LSSQ"/>
    <hyperlink ref="B612" r:id="rId_hyperlink_1221" tooltip="https://www.diodes.com/datasheet/download/DMN4008LFG.pdf" display="https://www.diodes.com/datasheet/download/DMN4008LFG.pdf"/>
    <hyperlink ref="C612" r:id="rId_hyperlink_1222" tooltip="DMN4008LFG" display="DMN4008LFG"/>
    <hyperlink ref="B613" r:id="rId_hyperlink_1223" tooltip="https://www.diodes.com/datasheet/download/DMN4010LFG.pdf" display="https://www.diodes.com/datasheet/download/DMN4010LFG.pdf"/>
    <hyperlink ref="C613" r:id="rId_hyperlink_1224" tooltip="DMN4010LFG" display="DMN4010LFG"/>
    <hyperlink ref="B614" r:id="rId_hyperlink_1225" tooltip="https://www.diodes.com/datasheet/download/DMN4010LK3.pdf" display="https://www.diodes.com/datasheet/download/DMN4010LK3.pdf"/>
    <hyperlink ref="C614" r:id="rId_hyperlink_1226" tooltip="DMN4010LK3" display="DMN4010LK3"/>
    <hyperlink ref="B615" r:id="rId_hyperlink_1227" tooltip="https://www.diodes.com/datasheet/download/DMN4020LFDE.pdf" display="https://www.diodes.com/datasheet/download/DMN4020LFDE.pdf"/>
    <hyperlink ref="C615" r:id="rId_hyperlink_1228" tooltip="DMN4020LFDE" display="DMN4020LFDE"/>
    <hyperlink ref="B616" r:id="rId_hyperlink_1229" tooltip="https://www.diodes.com/datasheet/download/DMN4020LFDEQ.pdf" display="https://www.diodes.com/datasheet/download/DMN4020LFDEQ.pdf"/>
    <hyperlink ref="C616" r:id="rId_hyperlink_1230" tooltip="DMN4020LFDEQ" display="DMN4020LFDEQ"/>
    <hyperlink ref="B617" r:id="rId_hyperlink_1231" tooltip="https://www.diodes.com/datasheet/download/DMN4026SK3.pdf" display="https://www.diodes.com/datasheet/download/DMN4026SK3.pdf"/>
    <hyperlink ref="C617" r:id="rId_hyperlink_1232" tooltip="DMN4026SK3" display="DMN4026SK3"/>
    <hyperlink ref="B618" r:id="rId_hyperlink_1233" tooltip="https://www.diodes.com/datasheet/download/DMN4026SSD.pdf" display="https://www.diodes.com/datasheet/download/DMN4026SSD.pdf"/>
    <hyperlink ref="C618" r:id="rId_hyperlink_1234" tooltip="DMN4026SSD" display="DMN4026SSD"/>
    <hyperlink ref="B619" r:id="rId_hyperlink_1235" tooltip="https://www.diodes.com/datasheet/download/DMN4026SSDQ.pdf" display="https://www.diodes.com/datasheet/download/DMN4026SSDQ.pdf"/>
    <hyperlink ref="C619" r:id="rId_hyperlink_1236" tooltip="DMN4026SSDQ" display="DMN4026SSDQ"/>
    <hyperlink ref="B620" r:id="rId_hyperlink_1237" tooltip="https://www.diodes.com/datasheet/download/DMN4027SSD.pdf" display="https://www.diodes.com/datasheet/download/DMN4027SSD.pdf"/>
    <hyperlink ref="C620" r:id="rId_hyperlink_1238" tooltip="DMN4027SSD" display="DMN4027SSD"/>
    <hyperlink ref="B621" r:id="rId_hyperlink_1239" tooltip="https://www.diodes.com/datasheet/download/DMN4030LK3.pdf" display="https://www.diodes.com/datasheet/download/DMN4030LK3.pdf"/>
    <hyperlink ref="C621" r:id="rId_hyperlink_1240" tooltip="DMN4030LK3" display="DMN4030LK3"/>
    <hyperlink ref="B622" r:id="rId_hyperlink_1241" tooltip="https://www.diodes.com/datasheet/download/DMN4030LK3Q.pdf" display="https://www.diodes.com/datasheet/download/DMN4030LK3Q.pdf"/>
    <hyperlink ref="C622" r:id="rId_hyperlink_1242" tooltip="DMN4030LK3Q" display="DMN4030LK3Q"/>
    <hyperlink ref="B623" r:id="rId_hyperlink_1243" tooltip="https://www.diodes.com/datasheet/download/DMN4031SSDQ.pdf" display="https://www.diodes.com/datasheet/download/DMN4031SSDQ.pdf"/>
    <hyperlink ref="C623" r:id="rId_hyperlink_1244" tooltip="DMN4031SSDQ" display="DMN4031SSDQ"/>
    <hyperlink ref="B624" r:id="rId_hyperlink_1245" tooltip="https://www.diodes.com/datasheet/download/DMN4034SSD.pdf" display="https://www.diodes.com/datasheet/download/DMN4034SSD.pdf"/>
    <hyperlink ref="C624" r:id="rId_hyperlink_1246" tooltip="DMN4034SSD" display="DMN4034SSD"/>
    <hyperlink ref="B625" r:id="rId_hyperlink_1247" tooltip="https://www.diodes.com/datasheet/download/DMN4034SSS.pdf" display="https://www.diodes.com/datasheet/download/DMN4034SSS.pdf"/>
    <hyperlink ref="C625" r:id="rId_hyperlink_1248" tooltip="DMN4034SSS" display="DMN4034SSS"/>
    <hyperlink ref="B626" r:id="rId_hyperlink_1249" tooltip="https://www.diodes.com/datasheet/download/DMN4034SSSQ.pdf" display="https://www.diodes.com/datasheet/download/DMN4034SSSQ.pdf"/>
    <hyperlink ref="C626" r:id="rId_hyperlink_1250" tooltip="DMN4034SSSQ" display="DMN4034SSSQ"/>
    <hyperlink ref="B627" r:id="rId_hyperlink_1251" tooltip="https://www.diodes.com/datasheet/download/DMN4035L.pdf" display="https://www.diodes.com/datasheet/download/DMN4035L.pdf"/>
    <hyperlink ref="C627" r:id="rId_hyperlink_1252" tooltip="DMN4035L" display="DMN4035L"/>
    <hyperlink ref="B628" r:id="rId_hyperlink_1253" tooltip="https://www.diodes.com/datasheet/download/DMN4035LQ.pdf" display="https://www.diodes.com/datasheet/download/DMN4035LQ.pdf"/>
    <hyperlink ref="C628" r:id="rId_hyperlink_1254" tooltip="DMN4035LQ" display="DMN4035LQ"/>
    <hyperlink ref="B629" r:id="rId_hyperlink_1255" tooltip="https://www.diodes.com/datasheet/download/DMN4036LK3.pdf" display="https://www.diodes.com/datasheet/download/DMN4036LK3.pdf"/>
    <hyperlink ref="C629" r:id="rId_hyperlink_1256" tooltip="DMN4036LK3" display="DMN4036LK3"/>
    <hyperlink ref="B630" r:id="rId_hyperlink_1257" tooltip="https://www.diodes.com/datasheet/download/DMN4060SVT.pdf" display="https://www.diodes.com/datasheet/download/DMN4060SVT.pdf"/>
    <hyperlink ref="C630" r:id="rId_hyperlink_1258" tooltip="DMN4060SVT" display="DMN4060SVT"/>
    <hyperlink ref="B631" r:id="rId_hyperlink_1259" tooltip="https://www.diodes.com/datasheet/download/DMN4060SVTQ.pdf" display="https://www.diodes.com/datasheet/download/DMN4060SVTQ.pdf"/>
    <hyperlink ref="C631" r:id="rId_hyperlink_1260" tooltip="DMN4060SVTQ" display="DMN4060SVTQ"/>
    <hyperlink ref="B632" r:id="rId_hyperlink_1261" tooltip="https://www.diodes.com/datasheet/download/DMN4468LSS.pdf" display="https://www.diodes.com/datasheet/download/DMN4468LSS.pdf"/>
    <hyperlink ref="C632" r:id="rId_hyperlink_1262" tooltip="DMN4468LSS" display="DMN4468LSS"/>
    <hyperlink ref="B633" r:id="rId_hyperlink_1263" tooltip="https://www.diodes.com/datasheet/download/DMN4800LSS.pdf" display="https://www.diodes.com/datasheet/download/DMN4800LSS.pdf"/>
    <hyperlink ref="C633" r:id="rId_hyperlink_1264" tooltip="DMN4800LSS" display="DMN4800LSS"/>
    <hyperlink ref="B634" r:id="rId_hyperlink_1265" tooltip="https://www.diodes.com/datasheet/download/DMN4800LSSL.pdf" display="https://www.diodes.com/datasheet/download/DMN4800LSSL.pdf"/>
    <hyperlink ref="C634" r:id="rId_hyperlink_1266" tooltip="DMN4800LSSL" display="DMN4800LSSL"/>
    <hyperlink ref="B635" r:id="rId_hyperlink_1267" tooltip="https://www.diodes.com/datasheet/download/DMN4800LSSQ.pdf" display="https://www.diodes.com/datasheet/download/DMN4800LSSQ.pdf"/>
    <hyperlink ref="C635" r:id="rId_hyperlink_1268" tooltip="DMN4800LSSQ" display="DMN4800LSSQ"/>
    <hyperlink ref="B636" r:id="rId_hyperlink_1269" tooltip="https://www.diodes.com/datasheet/download/DMN5040LSS.pdf" display="https://www.diodes.com/datasheet/download/DMN5040LSS.pdf"/>
    <hyperlink ref="C636" r:id="rId_hyperlink_1270" tooltip="DMN5040LSS" display="DMN5040LSS"/>
    <hyperlink ref="B637" r:id="rId_hyperlink_1271" tooltip="https://www.diodes.com/datasheet/download/DMN52D0LT.pdf" display="https://www.diodes.com/datasheet/download/DMN52D0LT.pdf"/>
    <hyperlink ref="C637" r:id="rId_hyperlink_1272" tooltip="DMN52D0LT" display="DMN52D0LT"/>
    <hyperlink ref="B638" r:id="rId_hyperlink_1273" tooltip="https://www.diodes.com/datasheet/download/DMN52D0U.pdf" display="https://www.diodes.com/datasheet/download/DMN52D0U.pdf"/>
    <hyperlink ref="C638" r:id="rId_hyperlink_1274" tooltip="DMN52D0U" display="DMN52D0U"/>
    <hyperlink ref="B639" r:id="rId_hyperlink_1275" tooltip="https://www.diodes.com/datasheet/download/DMN52D0UDM.pdf" display="https://www.diodes.com/datasheet/download/DMN52D0UDM.pdf"/>
    <hyperlink ref="C639" r:id="rId_hyperlink_1276" tooltip="DMN52D0UDM" display="DMN52D0UDM"/>
    <hyperlink ref="B640" r:id="rId_hyperlink_1277" tooltip="https://www.diodes.com/datasheet/download/DMN52D0UDMQ.pdf" display="https://www.diodes.com/datasheet/download/DMN52D0UDMQ.pdf"/>
    <hyperlink ref="C640" r:id="rId_hyperlink_1278" tooltip="DMN52D0UDMQ" display="DMN52D0UDMQ"/>
    <hyperlink ref="B641" r:id="rId_hyperlink_1279" tooltip="https://www.diodes.com/datasheet/download/DMN52D0UDW.pdf" display="https://www.diodes.com/datasheet/download/DMN52D0UDW.pdf"/>
    <hyperlink ref="C641" r:id="rId_hyperlink_1280" tooltip="DMN52D0UDW" display="DMN52D0UDW"/>
    <hyperlink ref="B642" r:id="rId_hyperlink_1281" tooltip="https://www.diodes.com/datasheet/download/DMN52D0UDWQ.pdf" display="https://www.diodes.com/datasheet/download/DMN52D0UDWQ.pdf"/>
    <hyperlink ref="C642" r:id="rId_hyperlink_1282" tooltip="DMN52D0UDWQ" display="DMN52D0UDWQ"/>
    <hyperlink ref="B643" r:id="rId_hyperlink_1283" tooltip="https://www.diodes.com/datasheet/download/DMN52D0UQ.pdf" display="https://www.diodes.com/datasheet/download/DMN52D0UQ.pdf"/>
    <hyperlink ref="C643" r:id="rId_hyperlink_1284" tooltip="DMN52D0UQ" display="DMN52D0UQ"/>
    <hyperlink ref="B644" r:id="rId_hyperlink_1285" tooltip="https://www.diodes.com/datasheet/download/DMN52D0UV.pdf" display="https://www.diodes.com/datasheet/download/DMN52D0UV.pdf"/>
    <hyperlink ref="C644" r:id="rId_hyperlink_1286" tooltip="DMN52D0UV" display="DMN52D0UV"/>
    <hyperlink ref="B645" r:id="rId_hyperlink_1287" tooltip="https://www.diodes.com/datasheet/download/DMN52D0UVA.pdf" display="https://www.diodes.com/datasheet/download/DMN52D0UVA.pdf"/>
    <hyperlink ref="C645" r:id="rId_hyperlink_1288" tooltip="DMN52D0UVA" display="DMN52D0UVA"/>
    <hyperlink ref="B646" r:id="rId_hyperlink_1289" tooltip="https://www.diodes.com/datasheet/download/DMN52D0UVQ.pdf" display="https://www.diodes.com/datasheet/download/DMN52D0UVQ.pdf"/>
    <hyperlink ref="C646" r:id="rId_hyperlink_1290" tooltip="DMN52D0UVQ" display="DMN52D0UVQ"/>
    <hyperlink ref="B647" r:id="rId_hyperlink_1291" tooltip="https://www.diodes.com/datasheet/download/DMN52D0UVT.pdf" display="https://www.diodes.com/datasheet/download/DMN52D0UVT.pdf"/>
    <hyperlink ref="C647" r:id="rId_hyperlink_1292" tooltip="DMN52D0UVT" display="DMN52D0UVT"/>
    <hyperlink ref="B648" r:id="rId_hyperlink_1293" tooltip="https://www.diodes.com/datasheet/download/DMN52D0UVTQ.pdf" display="https://www.diodes.com/datasheet/download/DMN52D0UVTQ.pdf"/>
    <hyperlink ref="C648" r:id="rId_hyperlink_1294" tooltip="DMN52D0UVTQ" display="DMN52D0UVTQ"/>
    <hyperlink ref="B649" r:id="rId_hyperlink_1295" tooltip="https://www.diodes.com/datasheet/download/DMN52D0UW.pdf" display="https://www.diodes.com/datasheet/download/DMN52D0UW.pdf"/>
    <hyperlink ref="C649" r:id="rId_hyperlink_1296" tooltip="DMN52D0UW" display="DMN52D0UW"/>
    <hyperlink ref="B650" r:id="rId_hyperlink_1297" tooltip="https://www.diodes.com/datasheet/download/DMN52D0UWQ.pdf" display="https://www.diodes.com/datasheet/download/DMN52D0UWQ.pdf"/>
    <hyperlink ref="C650" r:id="rId_hyperlink_1298" tooltip="DMN52D0UWQ" display="DMN52D0UWQ"/>
    <hyperlink ref="B651" r:id="rId_hyperlink_1299" tooltip="https://www.diodes.com/datasheet/download/DMN53D0L.pdf" display="https://www.diodes.com/datasheet/download/DMN53D0L.pdf"/>
    <hyperlink ref="C651" r:id="rId_hyperlink_1300" tooltip="DMN53D0L" display="DMN53D0L"/>
    <hyperlink ref="B652" r:id="rId_hyperlink_1301" tooltip="https://www.diodes.com/datasheet/download/DMN53D0LDW.pdf" display="https://www.diodes.com/datasheet/download/DMN53D0LDW.pdf"/>
    <hyperlink ref="C652" r:id="rId_hyperlink_1302" tooltip="DMN53D0LDW" display="DMN53D0LDW"/>
    <hyperlink ref="B653" r:id="rId_hyperlink_1303" tooltip="https://www.diodes.com/datasheet/download/DMN53D0LDWQ.pdf" display="https://www.diodes.com/datasheet/download/DMN53D0LDWQ.pdf"/>
    <hyperlink ref="C653" r:id="rId_hyperlink_1304" tooltip="DMN53D0LDWQ" display="DMN53D0LDWQ"/>
    <hyperlink ref="B654" r:id="rId_hyperlink_1305" tooltip="https://www.diodes.com/datasheet/download/DMN53D0LQ.pdf" display="https://www.diodes.com/datasheet/download/DMN53D0LQ.pdf"/>
    <hyperlink ref="C654" r:id="rId_hyperlink_1306" tooltip="DMN53D0LQ" display="DMN53D0LQ"/>
    <hyperlink ref="B655" r:id="rId_hyperlink_1307" tooltip="https://www.diodes.com/datasheet/download/DMN53D0LT.pdf" display="https://www.diodes.com/datasheet/download/DMN53D0LT.pdf"/>
    <hyperlink ref="C655" r:id="rId_hyperlink_1308" tooltip="DMN53D0LT" display="DMN53D0LT"/>
    <hyperlink ref="B656" r:id="rId_hyperlink_1309" tooltip="https://www.diodes.com/datasheet/download/DMN53D0LTQ.pdf" display="https://www.diodes.com/datasheet/download/DMN53D0LTQ.pdf"/>
    <hyperlink ref="C656" r:id="rId_hyperlink_1310" tooltip="DMN53D0LTQ" display="DMN53D0LTQ"/>
    <hyperlink ref="B657" r:id="rId_hyperlink_1311" tooltip="https://www.diodes.com/datasheet/download/DMN53D0LV.pdf" display="https://www.diodes.com/datasheet/download/DMN53D0LV.pdf"/>
    <hyperlink ref="C657" r:id="rId_hyperlink_1312" tooltip="DMN53D0LV" display="DMN53D0LV"/>
    <hyperlink ref="B658" r:id="rId_hyperlink_1313" tooltip="https://www.diodes.com/datasheet/download/DMN53D0LW.pdf" display="https://www.diodes.com/datasheet/download/DMN53D0LW.pdf"/>
    <hyperlink ref="C658" r:id="rId_hyperlink_1314" tooltip="DMN53D0LW" display="DMN53D0LW"/>
    <hyperlink ref="B659" r:id="rId_hyperlink_1315" tooltip="https://www.diodes.com/datasheet/download/DMN53D0U.pdf" display="https://www.diodes.com/datasheet/download/DMN53D0U.pdf"/>
    <hyperlink ref="C659" r:id="rId_hyperlink_1316" tooltip="DMN53D0U" display="DMN53D0U"/>
    <hyperlink ref="B660" r:id="rId_hyperlink_1317" tooltip="https://www.diodes.com/datasheet/download/DMN6010SCTB.pdf" display="https://www.diodes.com/datasheet/download/DMN6010SCTB.pdf"/>
    <hyperlink ref="C660" r:id="rId_hyperlink_1318" tooltip="DMN6010SCTB" display="DMN6010SCTB"/>
    <hyperlink ref="B661" r:id="rId_hyperlink_1319" tooltip="https://www.diodes.com/datasheet/download/DMN6010SCTBQ.pdf" display="https://www.diodes.com/datasheet/download/DMN6010SCTBQ.pdf"/>
    <hyperlink ref="C661" r:id="rId_hyperlink_1320" tooltip="DMN6010SCTBQ" display="DMN6010SCTBQ"/>
    <hyperlink ref="B662" r:id="rId_hyperlink_1321" tooltip="https://www.diodes.com/datasheet/download/DMN6013LFG.pdf" display="https://www.diodes.com/datasheet/download/DMN6013LFG.pdf"/>
    <hyperlink ref="C662" r:id="rId_hyperlink_1322" tooltip="DMN6013LFG" display="DMN6013LFG"/>
    <hyperlink ref="B663" r:id="rId_hyperlink_1323" tooltip="https://www.diodes.com/datasheet/download/DMN6013LFGQ.pdf" display="https://www.diodes.com/datasheet/download/DMN6013LFGQ.pdf"/>
    <hyperlink ref="C663" r:id="rId_hyperlink_1324" tooltip="DMN6013LFGQ" display="DMN6013LFGQ"/>
    <hyperlink ref="B664" r:id="rId_hyperlink_1325" tooltip="https://www.diodes.com/datasheet/download/DMN6017SFV.pdf" display="https://www.diodes.com/datasheet/download/DMN6017SFV.pdf"/>
    <hyperlink ref="C664" r:id="rId_hyperlink_1326" tooltip="DMN6017SFV" display="DMN6017SFV"/>
    <hyperlink ref="B665" r:id="rId_hyperlink_1327" tooltip="https://www.diodes.com/datasheet/download/DMN6017SK3.pdf" display="https://www.diodes.com/datasheet/download/DMN6017SK3.pdf"/>
    <hyperlink ref="C665" r:id="rId_hyperlink_1328" tooltip="DMN6017SK3" display="DMN6017SK3"/>
    <hyperlink ref="B666" r:id="rId_hyperlink_1329" tooltip="https://www.diodes.com/datasheet/download/DMN601DMK.pdf" display="https://www.diodes.com/datasheet/download/DMN601DMK.pdf"/>
    <hyperlink ref="C666" r:id="rId_hyperlink_1330" tooltip="DMN601DMK" display="DMN601DMK"/>
    <hyperlink ref="B667" r:id="rId_hyperlink_1331" tooltip="https://www.diodes.com/datasheet/download/DMN601DWK.pdf" display="https://www.diodes.com/datasheet/download/DMN601DWK.pdf"/>
    <hyperlink ref="C667" r:id="rId_hyperlink_1332" tooltip="DMN601DWK" display="DMN601DWK"/>
    <hyperlink ref="B668" r:id="rId_hyperlink_1333" tooltip="https://www.diodes.com/datasheet/download/DMN601DWKQ.pdf" display="https://www.diodes.com/datasheet/download/DMN601DWKQ.pdf"/>
    <hyperlink ref="C668" r:id="rId_hyperlink_1334" tooltip="DMN601DWKQ" display="DMN601DWKQ"/>
    <hyperlink ref="B669" r:id="rId_hyperlink_1335" tooltip="https://www.diodes.com/datasheet/download/DMN601K.pdf" display="https://www.diodes.com/datasheet/download/DMN601K.pdf"/>
    <hyperlink ref="C669" r:id="rId_hyperlink_1336" tooltip="DMN601K" display="DMN601K"/>
    <hyperlink ref="B670" r:id="rId_hyperlink_1337" tooltip="https://www.diodes.com/datasheet/download/DMN601LT.pdf" display="https://www.diodes.com/datasheet/download/DMN601LT.pdf"/>
    <hyperlink ref="C670" r:id="rId_hyperlink_1338" tooltip="DMN601LT" display="DMN601LT"/>
    <hyperlink ref="B671" r:id="rId_hyperlink_1339" tooltip="https://www.diodes.com/datasheet/download/DMN601LTQ.pdf" display="https://www.diodes.com/datasheet/download/DMN601LTQ.pdf"/>
    <hyperlink ref="C671" r:id="rId_hyperlink_1340" tooltip="DMN601LTQ" display="DMN601LTQ"/>
    <hyperlink ref="B672" r:id="rId_hyperlink_1341" tooltip="https://www.diodes.com/datasheet/download/DMN601TK.pdf" display="https://www.diodes.com/datasheet/download/DMN601TK.pdf"/>
    <hyperlink ref="C672" r:id="rId_hyperlink_1342" tooltip="DMN601TK" display="DMN601TK"/>
    <hyperlink ref="B673" r:id="rId_hyperlink_1343" tooltip="https://www.diodes.com/datasheet/download/DMN601TKQ.pdf" display="https://www.diodes.com/datasheet/download/DMN601TKQ.pdf"/>
    <hyperlink ref="C673" r:id="rId_hyperlink_1344" tooltip="DMN601TKQ" display="DMN601TKQ"/>
    <hyperlink ref="B674" r:id="rId_hyperlink_1345" tooltip="https://www.diodes.com/datasheet/download/DMN601VKQ.pdf" display="https://www.diodes.com/datasheet/download/DMN601VKQ.pdf"/>
    <hyperlink ref="C674" r:id="rId_hyperlink_1346" tooltip="DMN601VKQ" display="DMN601VKQ"/>
    <hyperlink ref="B675" r:id="rId_hyperlink_1347" tooltip="https://www.diodes.com/datasheet/download/DMN601WK.pdf" display="https://www.diodes.com/datasheet/download/DMN601WK.pdf"/>
    <hyperlink ref="C675" r:id="rId_hyperlink_1348" tooltip="DMN601WK" display="DMN601WK"/>
    <hyperlink ref="B676" r:id="rId_hyperlink_1349" tooltip="https://www.diodes.com/datasheet/download/DMN601WKQ.pdf" display="https://www.diodes.com/datasheet/download/DMN601WKQ.pdf"/>
    <hyperlink ref="C676" r:id="rId_hyperlink_1350" tooltip="DMN601WKQ" display="DMN601WKQ"/>
    <hyperlink ref="B677" r:id="rId_hyperlink_1351" tooltip="https://www.diodes.com/datasheet/download/DMN6022SSD.pdf" display="https://www.diodes.com/datasheet/download/DMN6022SSD.pdf"/>
    <hyperlink ref="C677" r:id="rId_hyperlink_1352" tooltip="DMN6022SSD" display="DMN6022SSD"/>
    <hyperlink ref="B678" r:id="rId_hyperlink_1353" tooltip="https://www.diodes.com/datasheet/download/DMN6022SSS.pdf" display="https://www.diodes.com/datasheet/download/DMN6022SSS.pdf"/>
    <hyperlink ref="C678" r:id="rId_hyperlink_1354" tooltip="DMN6022SSS" display="DMN6022SSS"/>
    <hyperlink ref="B679" r:id="rId_hyperlink_1355" tooltip="https://www.diodes.com/datasheet/download/DMN6040SE.pdf" display="https://www.diodes.com/datasheet/download/DMN6040SE.pdf"/>
    <hyperlink ref="C679" r:id="rId_hyperlink_1356" tooltip="DMN6040SE" display="DMN6040SE"/>
    <hyperlink ref="B680" r:id="rId_hyperlink_1357" tooltip="https://www.diodes.com/datasheet/download/DMN6040SFDE.pdf" display="https://www.diodes.com/datasheet/download/DMN6040SFDE.pdf"/>
    <hyperlink ref="C680" r:id="rId_hyperlink_1358" tooltip="DMN6040SFDE" display="DMN6040SFDE"/>
    <hyperlink ref="B681" r:id="rId_hyperlink_1359" tooltip="https://www.diodes.com/datasheet/download/DMN6040SFDEQ.pdf" display="https://www.diodes.com/datasheet/download/DMN6040SFDEQ.pdf"/>
    <hyperlink ref="C681" r:id="rId_hyperlink_1360" tooltip="DMN6040SFDEQ" display="DMN6040SFDEQ"/>
    <hyperlink ref="B682" r:id="rId_hyperlink_1361" tooltip="https://www.diodes.com/datasheet/download/DMN6040SK3.pdf" display="https://www.diodes.com/datasheet/download/DMN6040SK3.pdf"/>
    <hyperlink ref="C682" r:id="rId_hyperlink_1362" tooltip="DMN6040SK3" display="DMN6040SK3"/>
    <hyperlink ref="B683" r:id="rId_hyperlink_1363" tooltip="https://www.diodes.com/datasheet/download/DMN6040SK3Q.pdf" display="https://www.diodes.com/datasheet/download/DMN6040SK3Q.pdf"/>
    <hyperlink ref="C683" r:id="rId_hyperlink_1364" tooltip="DMN6040SK3Q" display="DMN6040SK3Q"/>
    <hyperlink ref="B684" r:id="rId_hyperlink_1365" tooltip="https://www.diodes.com/datasheet/download/DMN6040SSD.pdf" display="https://www.diodes.com/datasheet/download/DMN6040SSD.pdf"/>
    <hyperlink ref="C684" r:id="rId_hyperlink_1366" tooltip="DMN6040SSD" display="DMN6040SSD"/>
    <hyperlink ref="B685" r:id="rId_hyperlink_1367" tooltip="https://www.diodes.com/datasheet/download/DMN6040SSDQ.pdf" display="https://www.diodes.com/datasheet/download/DMN6040SSDQ.pdf"/>
    <hyperlink ref="C685" r:id="rId_hyperlink_1368" tooltip="DMN6040SSDQ" display="DMN6040SSDQ"/>
    <hyperlink ref="B686" r:id="rId_hyperlink_1369" tooltip="https://www.diodes.com/datasheet/download/DMN6040SSS.pdf" display="https://www.diodes.com/datasheet/download/DMN6040SSS.pdf"/>
    <hyperlink ref="C686" r:id="rId_hyperlink_1370" tooltip="DMN6040SSS" display="DMN6040SSS"/>
    <hyperlink ref="B687" r:id="rId_hyperlink_1371" tooltip="https://www.diodes.com/datasheet/download/DMN6040SSSQ.pdf" display="https://www.diodes.com/datasheet/download/DMN6040SSSQ.pdf"/>
    <hyperlink ref="C687" r:id="rId_hyperlink_1372" tooltip="DMN6040SSSQ" display="DMN6040SSSQ"/>
    <hyperlink ref="B688" r:id="rId_hyperlink_1373" tooltip="https://www.diodes.com/datasheet/download/DMN6040SVT.pdf" display="https://www.diodes.com/datasheet/download/DMN6040SVT.pdf"/>
    <hyperlink ref="C688" r:id="rId_hyperlink_1374" tooltip="DMN6040SVT" display="DMN6040SVT"/>
    <hyperlink ref="B689" r:id="rId_hyperlink_1375" tooltip="https://www.diodes.com/datasheet/download/DMN6040SVTQ.pdf" display="https://www.diodes.com/datasheet/download/DMN6040SVTQ.pdf"/>
    <hyperlink ref="C689" r:id="rId_hyperlink_1376" tooltip="DMN6040SVTQ" display="DMN6040SVTQ"/>
    <hyperlink ref="B690" r:id="rId_hyperlink_1377" tooltip="https://www.diodes.com/datasheet/download/DMN6041SVT.pdf" display="https://www.diodes.com/datasheet/download/DMN6041SVT.pdf"/>
    <hyperlink ref="C690" r:id="rId_hyperlink_1378" tooltip="DMN6041SVT" display="DMN6041SVT"/>
    <hyperlink ref="B691" r:id="rId_hyperlink_1379" tooltip="https://www.diodes.com/datasheet/download/DMN6041SVTQ.pdf" display="https://www.diodes.com/datasheet/download/DMN6041SVTQ.pdf"/>
    <hyperlink ref="C691" r:id="rId_hyperlink_1380" tooltip="DMN6041SVTQ" display="DMN6041SVTQ"/>
    <hyperlink ref="B692" r:id="rId_hyperlink_1381" tooltip="https://www.diodes.com/datasheet/download/DMN6066SSD.pdf" display="https://www.diodes.com/datasheet/download/DMN6066SSD.pdf"/>
    <hyperlink ref="C692" r:id="rId_hyperlink_1382" tooltip="DMN6066SSD" display="DMN6066SSD"/>
    <hyperlink ref="B693" r:id="rId_hyperlink_1383" tooltip="https://www.diodes.com/datasheet/download/DMN6066SSDQ.pdf" display="https://www.diodes.com/datasheet/download/DMN6066SSDQ.pdf"/>
    <hyperlink ref="C693" r:id="rId_hyperlink_1384" tooltip="DMN6066SSDQ" display="DMN6066SSDQ"/>
    <hyperlink ref="B694" r:id="rId_hyperlink_1385" tooltip="https://www.diodes.com/datasheet/download/DMN6066SSS.pdf" display="https://www.diodes.com/datasheet/download/DMN6066SSS.pdf"/>
    <hyperlink ref="C694" r:id="rId_hyperlink_1386" tooltip="DMN6066SSS" display="DMN6066SSS"/>
    <hyperlink ref="B695" r:id="rId_hyperlink_1387" tooltip="https://www.diodes.com/datasheet/download/DMN6068LK3.pdf" display="https://www.diodes.com/datasheet/download/DMN6068LK3.pdf"/>
    <hyperlink ref="C695" r:id="rId_hyperlink_1388" tooltip="DMN6068LK3" display="DMN6068LK3"/>
    <hyperlink ref="B696" r:id="rId_hyperlink_1389" tooltip="https://www.diodes.com/datasheet/download/DMN6068LK3Q.pdf" display="https://www.diodes.com/datasheet/download/DMN6068LK3Q.pdf"/>
    <hyperlink ref="C696" r:id="rId_hyperlink_1390" tooltip="DMN6068LK3Q" display="DMN6068LK3Q"/>
    <hyperlink ref="B697" r:id="rId_hyperlink_1391" tooltip="https://www.diodes.com/datasheet/download/DMN6068SE.pdf" display="https://www.diodes.com/datasheet/download/DMN6068SE.pdf"/>
    <hyperlink ref="C697" r:id="rId_hyperlink_1392" tooltip="DMN6068SE" display="DMN6068SE"/>
    <hyperlink ref="B698" r:id="rId_hyperlink_1393" tooltip="https://www.diodes.com/datasheet/download/DMN6068SEQ.pdf" display="https://www.diodes.com/datasheet/download/DMN6068SEQ.pdf"/>
    <hyperlink ref="C698" r:id="rId_hyperlink_1394" tooltip="DMN6068SEQ" display="DMN6068SEQ"/>
    <hyperlink ref="B699" r:id="rId_hyperlink_1395" tooltip="https://www.diodes.com/datasheet/download/DMN6069SE.pdf" display="https://www.diodes.com/datasheet/download/DMN6069SE.pdf"/>
    <hyperlink ref="C699" r:id="rId_hyperlink_1396" tooltip="DMN6069SE" display="DMN6069SE"/>
    <hyperlink ref="B700" r:id="rId_hyperlink_1397" tooltip="https://www.diodes.com/datasheet/download/DMN6069SEQ.pdf" display="https://www.diodes.com/datasheet/download/DMN6069SEQ.pdf"/>
    <hyperlink ref="C700" r:id="rId_hyperlink_1398" tooltip="DMN6069SEQ" display="DMN6069SEQ"/>
    <hyperlink ref="B701" r:id="rId_hyperlink_1399" tooltip="https://www.diodes.com/datasheet/download/DMN6069SFG.pdf" display="https://www.diodes.com/datasheet/download/DMN6069SFG.pdf"/>
    <hyperlink ref="C701" r:id="rId_hyperlink_1400" tooltip="DMN6069SFG" display="DMN6069SFG"/>
    <hyperlink ref="B702" r:id="rId_hyperlink_1401" tooltip="https://www.diodes.com/datasheet/download/DMN6069SFGQ.pdf" display="https://www.diodes.com/datasheet/download/DMN6069SFGQ.pdf"/>
    <hyperlink ref="C702" r:id="rId_hyperlink_1402" tooltip="DMN6069SFGQ" display="DMN6069SFGQ"/>
    <hyperlink ref="B703" r:id="rId_hyperlink_1403" tooltip="https://www.diodes.com/datasheet/download/DMN6069SFVW.pdf" display="https://www.diodes.com/datasheet/download/DMN6069SFVW.pdf"/>
    <hyperlink ref="C703" r:id="rId_hyperlink_1404" tooltip="DMN6069SFVW" display="DMN6069SFVW"/>
    <hyperlink ref="B704" r:id="rId_hyperlink_1405" tooltip="https://www.diodes.com/datasheet/download/DMN6069SFVWQ.pdf" display="https://www.diodes.com/datasheet/download/DMN6069SFVWQ.pdf"/>
    <hyperlink ref="C704" r:id="rId_hyperlink_1406" tooltip="DMN6069SFVWQ" display="DMN6069SFVWQ"/>
    <hyperlink ref="B705" r:id="rId_hyperlink_1407" tooltip="https://www.diodes.com/datasheet/download/DMN6070LCA6.pdf" display="https://www.diodes.com/datasheet/download/DMN6070LCA6.pdf"/>
    <hyperlink ref="C705" r:id="rId_hyperlink_1408" tooltip="DMN6070LCA6" display="DMN6070LCA6"/>
    <hyperlink ref="B706" r:id="rId_hyperlink_1409" tooltip="https://www.diodes.com/datasheet/download/DMN6070SFCL.pdf" display="https://www.diodes.com/datasheet/download/DMN6070SFCL.pdf"/>
    <hyperlink ref="C706" r:id="rId_hyperlink_1410" tooltip="DMN6070SFCL" display="DMN6070SFCL"/>
    <hyperlink ref="B707" r:id="rId_hyperlink_1411" tooltip="https://www.diodes.com/datasheet/download/DMN6070SSD.pdf" display="https://www.diodes.com/datasheet/download/DMN6070SSD.pdf"/>
    <hyperlink ref="C707" r:id="rId_hyperlink_1412" tooltip="DMN6070SSD" display="DMN6070SSD"/>
    <hyperlink ref="B708" r:id="rId_hyperlink_1413" tooltip="https://www.diodes.com/datasheet/download/DMN6070SSDQ.pdf" display="https://www.diodes.com/datasheet/download/DMN6070SSDQ.pdf"/>
    <hyperlink ref="C708" r:id="rId_hyperlink_1414" tooltip="DMN6070SSDQ" display="DMN6070SSDQ"/>
    <hyperlink ref="B709" r:id="rId_hyperlink_1415" tooltip="https://www.diodes.com/datasheet/download/DMN6070SY.pdf" display="https://www.diodes.com/datasheet/download/DMN6070SY.pdf"/>
    <hyperlink ref="C709" r:id="rId_hyperlink_1416" tooltip="DMN6070SY" display="DMN6070SY"/>
    <hyperlink ref="B710" r:id="rId_hyperlink_1417" tooltip="https://www.diodes.com/datasheet/download/DMN6075S.pdf" display="https://www.diodes.com/datasheet/download/DMN6075S.pdf"/>
    <hyperlink ref="C710" r:id="rId_hyperlink_1418" tooltip="DMN6075S" display="DMN6075S"/>
    <hyperlink ref="B711" r:id="rId_hyperlink_1419" tooltip="https://www.diodes.com/datasheet/download/DMN6075SQ.pdf" display="https://www.diodes.com/datasheet/download/DMN6075SQ.pdf"/>
    <hyperlink ref="C711" r:id="rId_hyperlink_1420" tooltip="DMN6075SQ" display="DMN6075SQ"/>
    <hyperlink ref="B712" r:id="rId_hyperlink_1421" tooltip="https://www.diodes.com/datasheet/download/DMN60H080DS.pdf" display="https://www.diodes.com/datasheet/download/DMN60H080DS.pdf"/>
    <hyperlink ref="C712" r:id="rId_hyperlink_1422" tooltip="DMN60H080DS" display="DMN60H080DS"/>
    <hyperlink ref="B713" r:id="rId_hyperlink_1423" tooltip="https://www.diodes.com/datasheet/download/DMN6140L.pdf" display="https://www.diodes.com/datasheet/download/DMN6140L.pdf"/>
    <hyperlink ref="C713" r:id="rId_hyperlink_1424" tooltip="DMN6140L" display="DMN6140L"/>
    <hyperlink ref="B714" r:id="rId_hyperlink_1425" tooltip="https://www.diodes.com/datasheet/download/DMN6140LQ.pdf" display="https://www.diodes.com/datasheet/download/DMN6140LQ.pdf"/>
    <hyperlink ref="C714" r:id="rId_hyperlink_1426" tooltip="DMN6140LQ" display="DMN6140LQ"/>
    <hyperlink ref="B715" r:id="rId_hyperlink_1427" tooltip="https://www.diodes.com/datasheet/download/DMN61D8L.pdf" display="https://www.diodes.com/datasheet/download/DMN61D8L.pdf"/>
    <hyperlink ref="C715" r:id="rId_hyperlink_1428" tooltip="DMN61D8L" display="DMN61D8L"/>
    <hyperlink ref="B716" r:id="rId_hyperlink_1429" tooltip="https://www.diodes.com/datasheet/download/DMN61D8LQ.pdf" display="https://www.diodes.com/datasheet/download/DMN61D8LQ.pdf"/>
    <hyperlink ref="C716" r:id="rId_hyperlink_1430" tooltip="DMN61D8LQ" display="DMN61D8LQ"/>
    <hyperlink ref="B717" r:id="rId_hyperlink_1431" tooltip="https://www.diodes.com/datasheet/download/DMN61D8LVT.pdf" display="https://www.diodes.com/datasheet/download/DMN61D8LVT.pdf"/>
    <hyperlink ref="C717" r:id="rId_hyperlink_1432" tooltip="DMN61D8LVT" display="DMN61D8LVT"/>
    <hyperlink ref="B718" r:id="rId_hyperlink_1433" tooltip="https://www.diodes.com/datasheet/download/DMN61D8LVTQ.pdf" display="https://www.diodes.com/datasheet/download/DMN61D8LVTQ.pdf"/>
    <hyperlink ref="C718" r:id="rId_hyperlink_1434" tooltip="DMN61D8LVTQ" display="DMN61D8LVTQ"/>
    <hyperlink ref="B719" r:id="rId_hyperlink_1435" tooltip="https://www.diodes.com/datasheet/download/DMN61D9UDWQ.pdf" display="https://www.diodes.com/datasheet/download/DMN61D9UDWQ.pdf"/>
    <hyperlink ref="C719" r:id="rId_hyperlink_1436" tooltip="DMN61D9UDWQ" display="DMN61D9UDWQ"/>
    <hyperlink ref="B720" r:id="rId_hyperlink_1437" tooltip="https://www.diodes.com/datasheet/download/DMN62D0LFB.pdf" display="https://www.diodes.com/datasheet/download/DMN62D0LFB.pdf"/>
    <hyperlink ref="C720" r:id="rId_hyperlink_1438" tooltip="DMN62D0LFB" display="DMN62D0LFB"/>
    <hyperlink ref="B721" r:id="rId_hyperlink_1439" tooltip="https://www.diodes.com/datasheet/download/DMN62D0LFD.pdf" display="https://www.diodes.com/datasheet/download/DMN62D0LFD.pdf"/>
    <hyperlink ref="C721" r:id="rId_hyperlink_1440" tooltip="DMN62D0LFD" display="DMN62D0LFD"/>
    <hyperlink ref="B722" r:id="rId_hyperlink_1441" tooltip="https://www.diodes.com/datasheet/download/DMN62D0SFD.pdf" display="https://www.diodes.com/datasheet/download/DMN62D0SFD.pdf"/>
    <hyperlink ref="C722" r:id="rId_hyperlink_1442" tooltip="DMN62D0SFD" display="DMN62D0SFD"/>
    <hyperlink ref="B723" r:id="rId_hyperlink_1443" tooltip="https://www.diodes.com/datasheet/download/DMN62D0U.pdf" display="https://www.diodes.com/datasheet/download/DMN62D0U.pdf"/>
    <hyperlink ref="C723" r:id="rId_hyperlink_1444" tooltip="DMN62D0U" display="DMN62D0U"/>
    <hyperlink ref="B724" r:id="rId_hyperlink_1445" tooltip="https://www.diodes.com/datasheet/download/DMN62D0UDW.pdf" display="https://www.diodes.com/datasheet/download/DMN62D0UDW.pdf"/>
    <hyperlink ref="C724" r:id="rId_hyperlink_1446" tooltip="DMN62D0UDW" display="DMN62D0UDW"/>
    <hyperlink ref="B725" r:id="rId_hyperlink_1447" tooltip="https://www.diodes.com/datasheet/download/DMN62D0UDWQ.pdf" display="https://www.diodes.com/datasheet/download/DMN62D0UDWQ.pdf"/>
    <hyperlink ref="C725" r:id="rId_hyperlink_1448" tooltip="DMN62D0UDWQ" display="DMN62D0UDWQ"/>
    <hyperlink ref="B726" r:id="rId_hyperlink_1449" tooltip="https://www.diodes.com/datasheet/download/DMN62D0UT.pdf" display="https://www.diodes.com/datasheet/download/DMN62D0UT.pdf"/>
    <hyperlink ref="C726" r:id="rId_hyperlink_1450" tooltip="DMN62D0UT" display="DMN62D0UT"/>
    <hyperlink ref="B727" r:id="rId_hyperlink_1451" tooltip="https://www.diodes.com/datasheet/download/DMN62D0UV.pdf" display="https://www.diodes.com/datasheet/download/DMN62D0UV.pdf"/>
    <hyperlink ref="C727" r:id="rId_hyperlink_1452" tooltip="DMN62D0UV" display="DMN62D0UV"/>
    <hyperlink ref="B728" r:id="rId_hyperlink_1453" tooltip="https://www.diodes.com/datasheet/download/DMN62D1LFB.pdf" display="https://www.diodes.com/datasheet/download/DMN62D1LFB.pdf"/>
    <hyperlink ref="C728" r:id="rId_hyperlink_1454" tooltip="DMN62D1LFB" display="DMN62D1LFB"/>
    <hyperlink ref="B729" r:id="rId_hyperlink_1455" tooltip="https://www.diodes.com/datasheet/download/DMN62D1LFD.pdf" display="https://www.diodes.com/datasheet/download/DMN62D1LFD.pdf"/>
    <hyperlink ref="C729" r:id="rId_hyperlink_1456" tooltip="DMN62D1LFD" display="DMN62D1LFD"/>
    <hyperlink ref="B730" r:id="rId_hyperlink_1457" tooltip="https://www.diodes.com/datasheet/download/DMN62D1LFDQ.pdf" display="https://www.diodes.com/datasheet/download/DMN62D1LFDQ.pdf"/>
    <hyperlink ref="C730" r:id="rId_hyperlink_1458" tooltip="DMN62D1LFDQ" display="DMN62D1LFDQ"/>
    <hyperlink ref="B731" r:id="rId_hyperlink_1459" tooltip="https://www.diodes.com/datasheet/download/DMN62D1SFB.pdf" display="https://www.diodes.com/datasheet/download/DMN62D1SFB.pdf"/>
    <hyperlink ref="C731" r:id="rId_hyperlink_1460" tooltip="DMN62D1SFB" display="DMN62D1SFB"/>
    <hyperlink ref="B732" r:id="rId_hyperlink_1461" tooltip="https://www.diodes.com/datasheet/download/DMN62D1SFBW.pdf" display="https://www.diodes.com/datasheet/download/DMN62D1SFBW.pdf"/>
    <hyperlink ref="C732" r:id="rId_hyperlink_1462" tooltip="DMN62D1SFBW" display="DMN62D1SFBW"/>
    <hyperlink ref="B733" r:id="rId_hyperlink_1463" tooltip="https://www.diodes.com/datasheet/download/DMN62D1SFBWQ.pdf" display="https://www.diodes.com/datasheet/download/DMN62D1SFBWQ.pdf"/>
    <hyperlink ref="C733" r:id="rId_hyperlink_1464" tooltip="DMN62D1SFBWQ" display="DMN62D1SFBWQ"/>
    <hyperlink ref="B734" r:id="rId_hyperlink_1465" tooltip="https://www.diodes.com/datasheet/download/DMN62D2U.pdf" display="https://www.diodes.com/datasheet/download/DMN62D2U.pdf"/>
    <hyperlink ref="C734" r:id="rId_hyperlink_1466" tooltip="DMN62D2U" display="DMN62D2U"/>
    <hyperlink ref="B735" r:id="rId_hyperlink_1467" tooltip="https://www.diodes.com/datasheet/download/DMN62D2UDM.pdf" display="https://www.diodes.com/datasheet/download/DMN62D2UDM.pdf"/>
    <hyperlink ref="C735" r:id="rId_hyperlink_1468" tooltip="DMN62D2UDM" display="DMN62D2UDM"/>
    <hyperlink ref="B736" r:id="rId_hyperlink_1469" tooltip="https://www.diodes.com/datasheet/download/DMN62D2UDMQ.pdf" display="https://www.diodes.com/datasheet/download/DMN62D2UDMQ.pdf"/>
    <hyperlink ref="C736" r:id="rId_hyperlink_1470" tooltip="DMN62D2UDMQ" display="DMN62D2UDMQ"/>
    <hyperlink ref="B737" r:id="rId_hyperlink_1471" tooltip="https://www.diodes.com/datasheet/download/DMN62D2UDW.pdf" display="https://www.diodes.com/datasheet/download/DMN62D2UDW.pdf"/>
    <hyperlink ref="C737" r:id="rId_hyperlink_1472" tooltip="DMN62D2UDW" display="DMN62D2UDW"/>
    <hyperlink ref="B738" r:id="rId_hyperlink_1473" tooltip="https://www.diodes.com/datasheet/download/DMN62D2UDWQ.pdf" display="https://www.diodes.com/datasheet/download/DMN62D2UDWQ.pdf"/>
    <hyperlink ref="C738" r:id="rId_hyperlink_1474" tooltip="DMN62D2UDWQ" display="DMN62D2UDWQ"/>
    <hyperlink ref="B739" r:id="rId_hyperlink_1475" tooltip="https://www.diodes.com/datasheet/download/DMN62D2UQ.pdf" display="https://www.diodes.com/datasheet/download/DMN62D2UQ.pdf"/>
    <hyperlink ref="C739" r:id="rId_hyperlink_1476" tooltip="DMN62D2UQ" display="DMN62D2UQ"/>
    <hyperlink ref="B740" r:id="rId_hyperlink_1477" tooltip="https://www.diodes.com/datasheet/download/DMN62D2UT.pdf" display="https://www.diodes.com/datasheet/download/DMN62D2UT.pdf"/>
    <hyperlink ref="C740" r:id="rId_hyperlink_1478" tooltip="DMN62D2UT" display="DMN62D2UT"/>
    <hyperlink ref="B741" r:id="rId_hyperlink_1479" tooltip="https://www.diodes.com/datasheet/download/DMN62D2UTQ.pdf" display="https://www.diodes.com/datasheet/download/DMN62D2UTQ.pdf"/>
    <hyperlink ref="C741" r:id="rId_hyperlink_1480" tooltip="DMN62D2UTQ" display="DMN62D2UTQ"/>
    <hyperlink ref="B742" r:id="rId_hyperlink_1481" tooltip="https://www.diodes.com/datasheet/download/DMN62D2UV.pdf" display="https://www.diodes.com/datasheet/download/DMN62D2UV.pdf"/>
    <hyperlink ref="C742" r:id="rId_hyperlink_1482" tooltip="DMN62D2UV" display="DMN62D2UV"/>
    <hyperlink ref="B743" r:id="rId_hyperlink_1483" tooltip="https://www.diodes.com/datasheet/download/DMN62D2UVQ.pdf" display="https://www.diodes.com/datasheet/download/DMN62D2UVQ.pdf"/>
    <hyperlink ref="C743" r:id="rId_hyperlink_1484" tooltip="DMN62D2UVQ" display="DMN62D2UVQ"/>
    <hyperlink ref="B744" r:id="rId_hyperlink_1485" tooltip="https://www.diodes.com/datasheet/download/DMN62D2UVT.pdf" display="https://www.diodes.com/datasheet/download/DMN62D2UVT.pdf"/>
    <hyperlink ref="C744" r:id="rId_hyperlink_1486" tooltip="DMN62D2UVT" display="DMN62D2UVT"/>
    <hyperlink ref="B745" r:id="rId_hyperlink_1487" tooltip="https://www.diodes.com/datasheet/download/DMN62D2UVTQ.pdf" display="https://www.diodes.com/datasheet/download/DMN62D2UVTQ.pdf"/>
    <hyperlink ref="C745" r:id="rId_hyperlink_1488" tooltip="DMN62D2UVTQ" display="DMN62D2UVTQ"/>
    <hyperlink ref="B746" r:id="rId_hyperlink_1489" tooltip="https://www.diodes.com/datasheet/download/DMN62D2UW.pdf" display="https://www.diodes.com/datasheet/download/DMN62D2UW.pdf"/>
    <hyperlink ref="C746" r:id="rId_hyperlink_1490" tooltip="DMN62D2UW" display="DMN62D2UW"/>
    <hyperlink ref="B747" r:id="rId_hyperlink_1491" tooltip="https://www.diodes.com/datasheet/download/DMN62D2UWQ.pdf" display="https://www.diodes.com/datasheet/download/DMN62D2UWQ.pdf"/>
    <hyperlink ref="C747" r:id="rId_hyperlink_1492" tooltip="DMN62D2UWQ" display="DMN62D2UWQ"/>
    <hyperlink ref="B748" r:id="rId_hyperlink_1493" tooltip="https://www.diodes.com/datasheet/download/DMN62D4LDW.pdf" display="https://www.diodes.com/datasheet/download/DMN62D4LDW.pdf"/>
    <hyperlink ref="C748" r:id="rId_hyperlink_1494" tooltip="DMN62D4LDW" display="DMN62D4LDW"/>
    <hyperlink ref="B749" r:id="rId_hyperlink_1495" tooltip="https://www.diodes.com/datasheet/download/DMN62D4LFB.pdf" display="https://www.diodes.com/datasheet/download/DMN62D4LFB.pdf"/>
    <hyperlink ref="C749" r:id="rId_hyperlink_1496" tooltip="DMN62D4LFB" display="DMN62D4LFB"/>
    <hyperlink ref="B750" r:id="rId_hyperlink_1497" tooltip="https://www.diodes.com/datasheet/download/DMN62D4LFB4.pdf" display="https://www.diodes.com/datasheet/download/DMN62D4LFB4.pdf"/>
    <hyperlink ref="C750" r:id="rId_hyperlink_1498" tooltip="DMN62D4LFB4" display="DMN62D4LFB4"/>
    <hyperlink ref="B751" r:id="rId_hyperlink_1499" tooltip="https://www.diodes.com/datasheet/download/DMN63D1L.pdf" display="https://www.diodes.com/datasheet/download/DMN63D1L.pdf"/>
    <hyperlink ref="C751" r:id="rId_hyperlink_1500" tooltip="DMN63D1L" display="DMN63D1L"/>
    <hyperlink ref="B752" r:id="rId_hyperlink_1501" tooltip="https://www.diodes.com/datasheet/download/DMN63D1LDW.pdf" display="https://www.diodes.com/datasheet/download/DMN63D1LDW.pdf"/>
    <hyperlink ref="C752" r:id="rId_hyperlink_1502" tooltip="DMN63D1LDW" display="DMN63D1LDW"/>
    <hyperlink ref="B753" r:id="rId_hyperlink_1503" tooltip="https://www.diodes.com/datasheet/download/DMN63D1LT.pdf" display="https://www.diodes.com/datasheet/download/DMN63D1LT.pdf"/>
    <hyperlink ref="C753" r:id="rId_hyperlink_1504" tooltip="DMN63D1LT" display="DMN63D1LT"/>
    <hyperlink ref="B754" r:id="rId_hyperlink_1505" tooltip="https://www.diodes.com/datasheet/download/DMN63D1LV.pdf" display="https://www.diodes.com/datasheet/download/DMN63D1LV.pdf"/>
    <hyperlink ref="C754" r:id="rId_hyperlink_1506" tooltip="DMN63D1LV" display="DMN63D1LV"/>
    <hyperlink ref="B755" r:id="rId_hyperlink_1507" tooltip="https://www.diodes.com/datasheet/download/DMN63D1LVQ.pdf" display="https://www.diodes.com/datasheet/download/DMN63D1LVQ.pdf"/>
    <hyperlink ref="C755" r:id="rId_hyperlink_1508" tooltip="DMN63D1LVQ" display="DMN63D1LVQ"/>
    <hyperlink ref="B756" r:id="rId_hyperlink_1509" tooltip="https://www.diodes.com/datasheet/download/DMN63D1LW.pdf" display="https://www.diodes.com/datasheet/download/DMN63D1LW.pdf"/>
    <hyperlink ref="C756" r:id="rId_hyperlink_1510" tooltip="DMN63D1LW" display="DMN63D1LW"/>
    <hyperlink ref="B757" r:id="rId_hyperlink_1511" tooltip="https://www.diodes.com/datasheet/download/DMN63D8L.pdf" display="https://www.diodes.com/datasheet/download/DMN63D8L.pdf"/>
    <hyperlink ref="C757" r:id="rId_hyperlink_1512" tooltip="DMN63D8L" display="DMN63D8L"/>
    <hyperlink ref="B758" r:id="rId_hyperlink_1513" tooltip="https://www.diodes.com/datasheet/download/DMN63D8LDW.pdf" display="https://www.diodes.com/datasheet/download/DMN63D8LDW.pdf"/>
    <hyperlink ref="C758" r:id="rId_hyperlink_1514" tooltip="DMN63D8LDW" display="DMN63D8LDW"/>
    <hyperlink ref="B759" r:id="rId_hyperlink_1515" tooltip="https://www.diodes.com/datasheet/download/DMN63D8LV.pdf" display="https://www.diodes.com/datasheet/download/DMN63D8LV.pdf"/>
    <hyperlink ref="C759" r:id="rId_hyperlink_1516" tooltip="DMN63D8LV" display="DMN63D8LV"/>
    <hyperlink ref="B760" r:id="rId_hyperlink_1517" tooltip="https://www.diodes.com/datasheet/download/DMN63D8LW.pdf" display="https://www.diodes.com/datasheet/download/DMN63D8LW.pdf"/>
    <hyperlink ref="C760" r:id="rId_hyperlink_1518" tooltip="DMN63D8LW" display="DMN63D8LW"/>
    <hyperlink ref="B761" r:id="rId_hyperlink_1519" tooltip="https://www.diodes.com/datasheet/download/DMN65D7LFR4.pdf" display="https://www.diodes.com/datasheet/download/DMN65D7LFR4.pdf"/>
    <hyperlink ref="C761" r:id="rId_hyperlink_1520" tooltip="DMN65D7LFR4" display="DMN65D7LFR4"/>
    <hyperlink ref="B762" r:id="rId_hyperlink_1521" tooltip="https://www.diodes.com/datasheet/download/DMN65D8L.pdf" display="https://www.diodes.com/datasheet/download/DMN65D8L.pdf"/>
    <hyperlink ref="C762" r:id="rId_hyperlink_1522" tooltip="DMN65D8L" display="DMN65D8L"/>
    <hyperlink ref="B763" r:id="rId_hyperlink_1523" tooltip="https://www.diodes.com/datasheet/download/DMN65D8LDW.pdf" display="https://www.diodes.com/datasheet/download/DMN65D8LDW.pdf"/>
    <hyperlink ref="C763" r:id="rId_hyperlink_1524" tooltip="DMN65D8LDW" display="DMN65D8LDW"/>
    <hyperlink ref="B764" r:id="rId_hyperlink_1525" tooltip="https://www.diodes.com/datasheet/download/DMN65D8LDWQ.pdf" display="https://www.diodes.com/datasheet/download/DMN65D8LDWQ.pdf"/>
    <hyperlink ref="C764" r:id="rId_hyperlink_1526" tooltip="DMN65D8LDWQ" display="DMN65D8LDWQ"/>
    <hyperlink ref="B765" r:id="rId_hyperlink_1527" tooltip="https://www.diodes.com/datasheet/download/DMN65D8LFB.pdf" display="https://www.diodes.com/datasheet/download/DMN65D8LFB.pdf"/>
    <hyperlink ref="C765" r:id="rId_hyperlink_1528" tooltip="DMN65D8LFB" display="DMN65D8LFB"/>
    <hyperlink ref="B766" r:id="rId_hyperlink_1529" tooltip="https://www.diodes.com/datasheet/download/DMN65D8LQ.pdf" display="https://www.diodes.com/datasheet/download/DMN65D8LQ.pdf"/>
    <hyperlink ref="C766" r:id="rId_hyperlink_1530" tooltip="DMN65D8LQ" display="DMN65D8LQ"/>
    <hyperlink ref="B767" r:id="rId_hyperlink_1531" tooltip="https://www.diodes.com/datasheet/download/DMN65D8LT.pdf" display="https://www.diodes.com/datasheet/download/DMN65D8LT.pdf"/>
    <hyperlink ref="C767" r:id="rId_hyperlink_1532" tooltip="DMN65D8LT" display="DMN65D8LT"/>
    <hyperlink ref="B768" r:id="rId_hyperlink_1533" tooltip="https://www.diodes.com/datasheet/download/DMN65D8LW.pdf" display="https://www.diodes.com/datasheet/download/DMN65D8LW.pdf"/>
    <hyperlink ref="C768" r:id="rId_hyperlink_1534" tooltip="DMN65D8LW" display="DMN65D8LW"/>
    <hyperlink ref="B769" r:id="rId_hyperlink_1535" tooltip="https://www.diodes.com/datasheet/download/DMN65D9L.pdf" display="https://www.diodes.com/datasheet/download/DMN65D9L.pdf"/>
    <hyperlink ref="C769" r:id="rId_hyperlink_1536" tooltip="DMN65D9L" display="DMN65D9L"/>
    <hyperlink ref="B770" r:id="rId_hyperlink_1537" tooltip="https://www.diodes.com/datasheet/download/DMN66D0LDW.pdf" display="https://www.diodes.com/datasheet/download/DMN66D0LDW.pdf"/>
    <hyperlink ref="C770" r:id="rId_hyperlink_1538" tooltip="DMN66D0LDW" display="DMN66D0LDW"/>
    <hyperlink ref="B771" r:id="rId_hyperlink_1539" tooltip="https://www.diodes.com/datasheet/download/DMN66D0LDWQ.pdf" display="https://www.diodes.com/datasheet/download/DMN66D0LDWQ.pdf"/>
    <hyperlink ref="C771" r:id="rId_hyperlink_1540" tooltip="DMN66D0LDWQ" display="DMN66D0LDWQ"/>
    <hyperlink ref="B772" r:id="rId_hyperlink_1541" tooltip="https://www.diodes.com/datasheet/download/DMN66D0LT.pdf" display="https://www.diodes.com/datasheet/download/DMN66D0LT.pdf"/>
    <hyperlink ref="C772" r:id="rId_hyperlink_1542" tooltip="DMN66D0LT" display="DMN66D0LT"/>
    <hyperlink ref="B773" r:id="rId_hyperlink_1543" tooltip="https://www.diodes.com/datasheet/download/DMN67D7L.pdf" display="https://www.diodes.com/datasheet/download/DMN67D7L.pdf"/>
    <hyperlink ref="C773" r:id="rId_hyperlink_1544" tooltip="DMN67D7L" display="DMN67D7L"/>
    <hyperlink ref="B774" r:id="rId_hyperlink_1545" tooltip="https://www.diodes.com/datasheet/download/DMN67D8L.pdf" display="https://www.diodes.com/datasheet/download/DMN67D8L.pdf"/>
    <hyperlink ref="C774" r:id="rId_hyperlink_1546" tooltip="DMN67D8L" display="DMN67D8L"/>
    <hyperlink ref="B775" r:id="rId_hyperlink_1547" tooltip="https://www.diodes.com/datasheet/download/DMN67D8LDW.pdf" display="https://www.diodes.com/datasheet/download/DMN67D8LDW.pdf"/>
    <hyperlink ref="C775" r:id="rId_hyperlink_1548" tooltip="DMN67D8LDW" display="DMN67D8LDW"/>
    <hyperlink ref="B776" r:id="rId_hyperlink_1549" tooltip="https://www.diodes.com/datasheet/download/DMN67D8LT.pdf" display="https://www.diodes.com/datasheet/download/DMN67D8LT.pdf"/>
    <hyperlink ref="C776" r:id="rId_hyperlink_1550" tooltip="DMN67D8LT" display="DMN67D8LT"/>
    <hyperlink ref="B777" r:id="rId_hyperlink_1551" tooltip="https://www.diodes.com/datasheet/download/DMN67D8LW.pdf" display="https://www.diodes.com/datasheet/download/DMN67D8LW.pdf"/>
    <hyperlink ref="C777" r:id="rId_hyperlink_1552" tooltip="DMN67D8LW" display="DMN67D8LW"/>
    <hyperlink ref="B778" r:id="rId_hyperlink_1553" tooltip="https://www.diodes.com/datasheet/download/DMN68M7SCT.pdf" display="https://www.diodes.com/datasheet/download/DMN68M7SCT.pdf"/>
    <hyperlink ref="C778" r:id="rId_hyperlink_1554" tooltip="DMN68M7SCT" display="DMN68M7SCT"/>
    <hyperlink ref="B779" r:id="rId_hyperlink_1555" tooltip="https://www.diodes.com/datasheet/download/DMNH10H021SPSW.pdf" display="https://www.diodes.com/datasheet/download/DMNH10H021SPSW.pdf"/>
    <hyperlink ref="C779" r:id="rId_hyperlink_1556" tooltip="DMNH10H021SPSW" display="DMNH10H021SPSW"/>
    <hyperlink ref="B780" r:id="rId_hyperlink_1557" tooltip="https://www.diodes.com/datasheet/download/DMNH10H028SCT.pdf" display="https://www.diodes.com/datasheet/download/DMNH10H028SCT.pdf"/>
    <hyperlink ref="C780" r:id="rId_hyperlink_1558" tooltip="DMNH10H028SCT" display="DMNH10H028SCT"/>
    <hyperlink ref="B781" r:id="rId_hyperlink_1559" tooltip="https://www.diodes.com/datasheet/download/DMNH10H028SK3.pdf" display="https://www.diodes.com/datasheet/download/DMNH10H028SK3.pdf"/>
    <hyperlink ref="C781" r:id="rId_hyperlink_1560" tooltip="DMNH10H028SK3" display="DMNH10H028SK3"/>
    <hyperlink ref="B782" r:id="rId_hyperlink_1561" tooltip="https://www.diodes.com/datasheet/download/DMNH10H028SK3Q.pdf" display="https://www.diodes.com/datasheet/download/DMNH10H028SK3Q.pdf"/>
    <hyperlink ref="C782" r:id="rId_hyperlink_1562" tooltip="DMNH10H028SK3Q" display="DMNH10H028SK3Q"/>
    <hyperlink ref="B783" r:id="rId_hyperlink_1563" tooltip="https://www.diodes.com/datasheet/download/DMNH10H028SPS.pdf" display="https://www.diodes.com/datasheet/download/DMNH10H028SPS.pdf"/>
    <hyperlink ref="C783" r:id="rId_hyperlink_1564" tooltip="DMNH10H028SPS" display="DMNH10H028SPS"/>
    <hyperlink ref="B784" r:id="rId_hyperlink_1565" tooltip="https://www.diodes.com/datasheet/download/DMNH10H028SPSQ.pdf" display="https://www.diodes.com/datasheet/download/DMNH10H028SPSQ.pdf"/>
    <hyperlink ref="C784" r:id="rId_hyperlink_1566" tooltip="DMNH10H028SPSQ" display="DMNH10H028SPSQ"/>
    <hyperlink ref="B785" r:id="rId_hyperlink_1567" tooltip="https://www.diodes.com/datasheet/download/DMNH10H028SPSW.pdf" display="https://www.diodes.com/datasheet/download/DMNH10H028SPSW.pdf"/>
    <hyperlink ref="C785" r:id="rId_hyperlink_1568" tooltip="DMNH10H028SPSW" display="DMNH10H028SPSW"/>
    <hyperlink ref="B786" r:id="rId_hyperlink_1569" tooltip="https://www.diodes.com/datasheet/download/DMNH10H028SPSWQ.pdf" display="https://www.diodes.com/datasheet/download/DMNH10H028SPSWQ.pdf"/>
    <hyperlink ref="C786" r:id="rId_hyperlink_1570" tooltip="DMNH10H028SPSWQ" display="DMNH10H028SPSWQ"/>
    <hyperlink ref="B787" r:id="rId_hyperlink_1571" tooltip="https://www.diodes.com/datasheet/download/DMNH3010LK3.pdf" display="https://www.diodes.com/datasheet/download/DMNH3010LK3.pdf"/>
    <hyperlink ref="C787" r:id="rId_hyperlink_1572" tooltip="DMNH3010LK3" display="DMNH3010LK3"/>
    <hyperlink ref="B788" r:id="rId_hyperlink_1573" tooltip="https://www.diodes.com/datasheet/download/DMNH4004SPS.pdf" display="https://www.diodes.com/datasheet/download/DMNH4004SPS.pdf"/>
    <hyperlink ref="C788" r:id="rId_hyperlink_1574" tooltip="DMNH4004SPS" display="DMNH4004SPS"/>
    <hyperlink ref="B789" r:id="rId_hyperlink_1575" tooltip="https://www.diodes.com/datasheet/download/DMNH4005SCT.pdf" display="https://www.diodes.com/datasheet/download/DMNH4005SCT.pdf"/>
    <hyperlink ref="C789" r:id="rId_hyperlink_1576" tooltip="DMNH4005SCT" display="DMNH4005SCT"/>
    <hyperlink ref="B790" r:id="rId_hyperlink_1577" tooltip="https://www.diodes.com/datasheet/download/DMNH4005SCTQ.pdf" display="https://www.diodes.com/datasheet/download/DMNH4005SCTQ.pdf"/>
    <hyperlink ref="C790" r:id="rId_hyperlink_1578" tooltip="DMNH4005SCTQ" display="DMNH4005SCTQ"/>
    <hyperlink ref="B791" r:id="rId_hyperlink_1579" tooltip="https://www.diodes.com/datasheet/download/DMNH4005SPS.pdf" display="https://www.diodes.com/datasheet/download/DMNH4005SPS.pdf"/>
    <hyperlink ref="C791" r:id="rId_hyperlink_1580" tooltip="DMNH4005SPS" display="DMNH4005SPS"/>
    <hyperlink ref="B792" r:id="rId_hyperlink_1581" tooltip="https://www.diodes.com/datasheet/download/DMNH4005SPSQ.pdf" display="https://www.diodes.com/datasheet/download/DMNH4005SPSQ.pdf"/>
    <hyperlink ref="C792" r:id="rId_hyperlink_1582" tooltip="DMNH4005SPSQ" display="DMNH4005SPSQ"/>
    <hyperlink ref="B793" r:id="rId_hyperlink_1583" tooltip="https://www.diodes.com/datasheet/download/DMNH4005SPSWQ.pdf" display="https://www.diodes.com/datasheet/download/DMNH4005SPSWQ.pdf"/>
    <hyperlink ref="C793" r:id="rId_hyperlink_1584" tooltip="DMNH4005SPSWQ" display="DMNH4005SPSWQ"/>
    <hyperlink ref="B794" r:id="rId_hyperlink_1585" tooltip="https://www.diodes.com/datasheet/download/DMNH4006SK3.pdf" display="https://www.diodes.com/datasheet/download/DMNH4006SK3.pdf"/>
    <hyperlink ref="C794" r:id="rId_hyperlink_1586" tooltip="DMNH4006SK3" display="DMNH4006SK3"/>
    <hyperlink ref="B795" r:id="rId_hyperlink_1587" tooltip="https://www.diodes.com/datasheet/download/DMNH4006SK3Q.pdf" display="https://www.diodes.com/datasheet/download/DMNH4006SK3Q.pdf"/>
    <hyperlink ref="C795" r:id="rId_hyperlink_1588" tooltip="DMNH4006SK3Q" display="DMNH4006SK3Q"/>
    <hyperlink ref="B796" r:id="rId_hyperlink_1589" tooltip="https://www.diodes.com/datasheet/download/DMNH4006SPS.pdf" display="https://www.diodes.com/datasheet/download/DMNH4006SPS.pdf"/>
    <hyperlink ref="C796" r:id="rId_hyperlink_1590" tooltip="DMNH4006SPS" display="DMNH4006SPS"/>
    <hyperlink ref="B797" r:id="rId_hyperlink_1591" tooltip="https://www.diodes.com/datasheet/download/DMNH4006SPSQ.pdf" display="https://www.diodes.com/datasheet/download/DMNH4006SPSQ.pdf"/>
    <hyperlink ref="C797" r:id="rId_hyperlink_1592" tooltip="DMNH4006SPSQ" display="DMNH4006SPSQ"/>
    <hyperlink ref="B798" r:id="rId_hyperlink_1593" tooltip="https://www.diodes.com/datasheet/download/DMNH4006SPSWQ.pdf" display="https://www.diodes.com/datasheet/download/DMNH4006SPSWQ.pdf"/>
    <hyperlink ref="C798" r:id="rId_hyperlink_1594" tooltip="DMNH4006SPSWQ" display="DMNH4006SPSWQ"/>
    <hyperlink ref="B799" r:id="rId_hyperlink_1595" tooltip="https://www.diodes.com/datasheet/download/DMNH4011SK3Q.pdf" display="https://www.diodes.com/datasheet/download/DMNH4011SK3Q.pdf"/>
    <hyperlink ref="C799" r:id="rId_hyperlink_1596" tooltip="DMNH4011SK3Q" display="DMNH4011SK3Q"/>
    <hyperlink ref="B800" r:id="rId_hyperlink_1597" tooltip="https://www.diodes.com/datasheet/download/DMNH4011SPS.pdf" display="https://www.diodes.com/datasheet/download/DMNH4011SPS.pdf"/>
    <hyperlink ref="C800" r:id="rId_hyperlink_1598" tooltip="DMNH4011SPS" display="DMNH4011SPS"/>
    <hyperlink ref="B801" r:id="rId_hyperlink_1599" tooltip="https://www.diodes.com/datasheet/download/DMNH4011SPSQ.pdf" display="https://www.diodes.com/datasheet/download/DMNH4011SPSQ.pdf"/>
    <hyperlink ref="C801" r:id="rId_hyperlink_1600" tooltip="DMNH4011SPSQ" display="DMNH4011SPSQ"/>
    <hyperlink ref="B802" r:id="rId_hyperlink_1601" tooltip="https://www.diodes.com/datasheet/download/DMNH4011SPSWQ.pdf" display="https://www.diodes.com/datasheet/download/DMNH4011SPSWQ.pdf"/>
    <hyperlink ref="C802" r:id="rId_hyperlink_1602" tooltip="DMNH4011SPSWQ" display="DMNH4011SPSWQ"/>
    <hyperlink ref="B803" r:id="rId_hyperlink_1603" tooltip="https://www.diodes.com/datasheet/download/DMNH4015SSD.pdf" display="https://www.diodes.com/datasheet/download/DMNH4015SSD.pdf"/>
    <hyperlink ref="C803" r:id="rId_hyperlink_1604" tooltip="DMNH4015SSD" display="DMNH4015SSD"/>
    <hyperlink ref="B804" r:id="rId_hyperlink_1605" tooltip="https://www.diodes.com/datasheet/download/DMNH4015SSDQ.pdf" display="https://www.diodes.com/datasheet/download/DMNH4015SSDQ.pdf"/>
    <hyperlink ref="C804" r:id="rId_hyperlink_1606" tooltip="DMNH4015SSDQ" display="DMNH4015SSDQ"/>
    <hyperlink ref="B805" r:id="rId_hyperlink_1607" tooltip="https://www.diodes.com/datasheet/download/DMNH4026SSD.pdf" display="https://www.diodes.com/datasheet/download/DMNH4026SSD.pdf"/>
    <hyperlink ref="C805" r:id="rId_hyperlink_1608" tooltip="DMNH4026SSD" display="DMNH4026SSD"/>
    <hyperlink ref="B806" r:id="rId_hyperlink_1609" tooltip="https://www.diodes.com/datasheet/download/DMNH4026SSDQ.pdf" display="https://www.diodes.com/datasheet/download/DMNH4026SSDQ.pdf"/>
    <hyperlink ref="C806" r:id="rId_hyperlink_1610" tooltip="DMNH4026SSDQ" display="DMNH4026SSDQ"/>
    <hyperlink ref="B807" r:id="rId_hyperlink_1611" tooltip="https://www.diodes.com/datasheet/download/DMNH45M7SCT.pdf" display="https://www.diodes.com/datasheet/download/DMNH45M7SCT.pdf"/>
    <hyperlink ref="C807" r:id="rId_hyperlink_1612" tooltip="DMNH45M7SCT" display="DMNH45M7SCT"/>
    <hyperlink ref="B808" r:id="rId_hyperlink_1613" tooltip="https://www.diodes.com/datasheet/download/DMNH6008SCT.pdf" display="https://www.diodes.com/datasheet/download/DMNH6008SCT.pdf"/>
    <hyperlink ref="C808" r:id="rId_hyperlink_1614" tooltip="DMNH6008SCT" display="DMNH6008SCT"/>
    <hyperlink ref="B809" r:id="rId_hyperlink_1615" tooltip="https://www.diodes.com/datasheet/download/DMNH6008SCTQ.pdf" display="https://www.diodes.com/datasheet/download/DMNH6008SCTQ.pdf"/>
    <hyperlink ref="C809" r:id="rId_hyperlink_1616" tooltip="DMNH6008SCTQ" display="DMNH6008SCTQ"/>
    <hyperlink ref="B810" r:id="rId_hyperlink_1617" tooltip="https://www.diodes.com/datasheet/download/DMNH6008SPS.pdf" display="https://www.diodes.com/datasheet/download/DMNH6008SPS.pdf"/>
    <hyperlink ref="C810" r:id="rId_hyperlink_1618" tooltip="DMNH6008SPS" display="DMNH6008SPS"/>
    <hyperlink ref="B811" r:id="rId_hyperlink_1619" tooltip="https://www.diodes.com/datasheet/download/DMNH6008SPSQ.pdf" display="https://www.diodes.com/datasheet/download/DMNH6008SPSQ.pdf"/>
    <hyperlink ref="C811" r:id="rId_hyperlink_1620" tooltip="DMNH6008SPSQ" display="DMNH6008SPSQ"/>
    <hyperlink ref="B812" r:id="rId_hyperlink_1621" tooltip="https://www.diodes.com/datasheet/download/DMNH6008SPSW.pdf" display="https://www.diodes.com/datasheet/download/DMNH6008SPSW.pdf"/>
    <hyperlink ref="C812" r:id="rId_hyperlink_1622" tooltip="DMNH6008SPSW" display="DMNH6008SPSW"/>
    <hyperlink ref="B813" r:id="rId_hyperlink_1623" tooltip="https://www.diodes.com/datasheet/download/DMNH6008SPSWQ.pdf" display="https://www.diodes.com/datasheet/download/DMNH6008SPSWQ.pdf"/>
    <hyperlink ref="C813" r:id="rId_hyperlink_1624" tooltip="DMNH6008SPSWQ" display="DMNH6008SPSWQ"/>
    <hyperlink ref="B814" r:id="rId_hyperlink_1625" tooltip="https://www.diodes.com/datasheet/download/DMNH6009SPS.pdf" display="https://www.diodes.com/datasheet/download/DMNH6009SPS.pdf"/>
    <hyperlink ref="C814" r:id="rId_hyperlink_1626" tooltip="DMNH6009SPS" display="DMNH6009SPS"/>
    <hyperlink ref="B815" r:id="rId_hyperlink_1627" tooltip="https://www.diodes.com/datasheet/download/DMNH6009SPSW.pdf" display="https://www.diodes.com/datasheet/download/DMNH6009SPSW.pdf"/>
    <hyperlink ref="C815" r:id="rId_hyperlink_1628" tooltip="DMNH6009SPSW" display="DMNH6009SPSW"/>
    <hyperlink ref="B816" r:id="rId_hyperlink_1629" tooltip="https://www.diodes.com/datasheet/download/DMNH6010SCTB.pdf" display="https://www.diodes.com/datasheet/download/DMNH6010SCTB.pdf"/>
    <hyperlink ref="C816" r:id="rId_hyperlink_1630" tooltip="DMNH6010SCTB" display="DMNH6010SCTB"/>
    <hyperlink ref="B817" r:id="rId_hyperlink_1631" tooltip="https://www.diodes.com/datasheet/download/DMNH6010SCTBQ.pdf" display="https://www.diodes.com/datasheet/download/DMNH6010SCTBQ.pdf"/>
    <hyperlink ref="C817" r:id="rId_hyperlink_1632" tooltip="DMNH6010SCTBQ" display="DMNH6010SCTBQ"/>
    <hyperlink ref="B818" r:id="rId_hyperlink_1633" tooltip="https://www.diodes.com/datasheet/download/DMNH6011LK3.pdf" display="https://www.diodes.com/datasheet/download/DMNH6011LK3.pdf"/>
    <hyperlink ref="C818" r:id="rId_hyperlink_1634" tooltip="DMNH6011LK3" display="DMNH6011LK3"/>
    <hyperlink ref="B819" r:id="rId_hyperlink_1635" tooltip="https://www.diodes.com/datasheet/download/DMNH6011LK3Q.pdf" display="https://www.diodes.com/datasheet/download/DMNH6011LK3Q.pdf"/>
    <hyperlink ref="C819" r:id="rId_hyperlink_1636" tooltip="DMNH6011LK3Q" display="DMNH6011LK3Q"/>
    <hyperlink ref="B820" r:id="rId_hyperlink_1637" tooltip="https://www.diodes.com/datasheet/download/DMNH6012LK3.pdf" display="https://www.diodes.com/datasheet/download/DMNH6012LK3.pdf"/>
    <hyperlink ref="C820" r:id="rId_hyperlink_1638" tooltip="DMNH6012LK3" display="DMNH6012LK3"/>
    <hyperlink ref="B821" r:id="rId_hyperlink_1639" tooltip="https://www.diodes.com/datasheet/download/DMNH6012LK3Q.pdf" display="https://www.diodes.com/datasheet/download/DMNH6012LK3Q.pdf"/>
    <hyperlink ref="C821" r:id="rId_hyperlink_1640" tooltip="DMNH6012LK3Q" display="DMNH6012LK3Q"/>
    <hyperlink ref="B822" r:id="rId_hyperlink_1641" tooltip="https://www.diodes.com/datasheet/download/DMNH6012SPS.pdf" display="https://www.diodes.com/datasheet/download/DMNH6012SPS.pdf"/>
    <hyperlink ref="C822" r:id="rId_hyperlink_1642" tooltip="DMNH6012SPS" display="DMNH6012SPS"/>
    <hyperlink ref="B823" r:id="rId_hyperlink_1643" tooltip="https://www.diodes.com/datasheet/download/DMNH6012SPSQ.pdf" display="https://www.diodes.com/datasheet/download/DMNH6012SPSQ.pdf"/>
    <hyperlink ref="C823" r:id="rId_hyperlink_1644" tooltip="DMNH6012SPSQ" display="DMNH6012SPSQ"/>
    <hyperlink ref="B824" r:id="rId_hyperlink_1645" tooltip="https://www.diodes.com/datasheet/download/DMNH6012SPSW.pdf" display="https://www.diodes.com/datasheet/download/DMNH6012SPSW.pdf"/>
    <hyperlink ref="C824" r:id="rId_hyperlink_1646" tooltip="DMNH6012SPSW" display="DMNH6012SPSW"/>
    <hyperlink ref="B825" r:id="rId_hyperlink_1647" tooltip="https://www.diodes.com/datasheet/download/DMNH6012SPSWQ.pdf" display="https://www.diodes.com/datasheet/download/DMNH6012SPSWQ.pdf"/>
    <hyperlink ref="C825" r:id="rId_hyperlink_1648" tooltip="DMNH6012SPSWQ" display="DMNH6012SPSWQ"/>
    <hyperlink ref="B826" r:id="rId_hyperlink_1649" tooltip="https://www.diodes.com/datasheet/download/DMNH6021SK3.pdf" display="https://www.diodes.com/datasheet/download/DMNH6021SK3.pdf"/>
    <hyperlink ref="C826" r:id="rId_hyperlink_1650" tooltip="DMNH6021SK3" display="DMNH6021SK3"/>
    <hyperlink ref="B827" r:id="rId_hyperlink_1651" tooltip="https://www.diodes.com/datasheet/download/DMNH6021SK3Q.pdf" display="https://www.diodes.com/datasheet/download/DMNH6021SK3Q.pdf"/>
    <hyperlink ref="C827" r:id="rId_hyperlink_1652" tooltip="DMNH6021SK3Q" display="DMNH6021SK3Q"/>
    <hyperlink ref="B828" r:id="rId_hyperlink_1653" tooltip="https://www.diodes.com/datasheet/download/DMNH6021SPD.pdf" display="https://www.diodes.com/datasheet/download/DMNH6021SPD.pdf"/>
    <hyperlink ref="C828" r:id="rId_hyperlink_1654" tooltip="DMNH6021SPD" display="DMNH6021SPD"/>
    <hyperlink ref="B829" r:id="rId_hyperlink_1655" tooltip="https://www.diodes.com/datasheet/download/DMNH6021SPDQ.pdf" display="https://www.diodes.com/datasheet/download/DMNH6021SPDQ.pdf"/>
    <hyperlink ref="C829" r:id="rId_hyperlink_1656" tooltip="DMNH6021SPDQ" display="DMNH6021SPDQ"/>
    <hyperlink ref="B830" r:id="rId_hyperlink_1657" tooltip="https://www.diodes.com/datasheet/download/DMNH6021SPDW.pdf" display="https://www.diodes.com/datasheet/download/DMNH6021SPDW.pdf"/>
    <hyperlink ref="C830" r:id="rId_hyperlink_1658" tooltip="DMNH6021SPDW" display="DMNH6021SPDW"/>
    <hyperlink ref="B831" r:id="rId_hyperlink_1659" tooltip="https://www.diodes.com/datasheet/download/DMNH6021SPDWQ.pdf" display="https://www.diodes.com/datasheet/download/DMNH6021SPDWQ.pdf"/>
    <hyperlink ref="C831" r:id="rId_hyperlink_1660" tooltip="DMNH6021SPDWQ" display="DMNH6021SPDWQ"/>
    <hyperlink ref="B832" r:id="rId_hyperlink_1661" tooltip="https://www.diodes.com/datasheet/download/DMNH6021SPS.pdf" display="https://www.diodes.com/datasheet/download/DMNH6021SPS.pdf"/>
    <hyperlink ref="C832" r:id="rId_hyperlink_1662" tooltip="DMNH6021SPS" display="DMNH6021SPS"/>
    <hyperlink ref="B833" r:id="rId_hyperlink_1663" tooltip="https://www.diodes.com/datasheet/download/DMNH6021SPSQ.pdf" display="https://www.diodes.com/datasheet/download/DMNH6021SPSQ.pdf"/>
    <hyperlink ref="C833" r:id="rId_hyperlink_1664" tooltip="DMNH6021SPSQ" display="DMNH6021SPSQ"/>
    <hyperlink ref="B834" r:id="rId_hyperlink_1665" tooltip="https://www.diodes.com/datasheet/download/DMNH6021SPSW.pdf" display="https://www.diodes.com/datasheet/download/DMNH6021SPSW.pdf"/>
    <hyperlink ref="C834" r:id="rId_hyperlink_1666" tooltip="DMNH6021SPSW" display="DMNH6021SPSW"/>
    <hyperlink ref="B835" r:id="rId_hyperlink_1667" tooltip="https://www.diodes.com/datasheet/download/DMNH6021SPSWQ.pdf" display="https://www.diodes.com/datasheet/download/DMNH6021SPSWQ.pdf"/>
    <hyperlink ref="C835" r:id="rId_hyperlink_1668" tooltip="DMNH6021SPSWQ" display="DMNH6021SPSWQ"/>
    <hyperlink ref="B836" r:id="rId_hyperlink_1669" tooltip="https://www.diodes.com/datasheet/download/DMNH6022SSD.pdf" display="https://www.diodes.com/datasheet/download/DMNH6022SSD.pdf"/>
    <hyperlink ref="C836" r:id="rId_hyperlink_1670" tooltip="DMNH6022SSD" display="DMNH6022SSD"/>
    <hyperlink ref="B837" r:id="rId_hyperlink_1671" tooltip="https://www.diodes.com/datasheet/download/DMNH6022SSDQ.pdf" display="https://www.diodes.com/datasheet/download/DMNH6022SSDQ.pdf"/>
    <hyperlink ref="C837" r:id="rId_hyperlink_1672" tooltip="DMNH6022SSDQ" display="DMNH6022SSDQ"/>
    <hyperlink ref="B838" r:id="rId_hyperlink_1673" tooltip="https://www.diodes.com/datasheet/download/DMNH6035SPDW.pdf" display="https://www.diodes.com/datasheet/download/DMNH6035SPDW.pdf"/>
    <hyperlink ref="C838" r:id="rId_hyperlink_1674" tooltip="DMNH6035SPDW" display="DMNH6035SPDW"/>
    <hyperlink ref="B839" r:id="rId_hyperlink_1675" tooltip="https://www.diodes.com/datasheet/download/DMNH6035SPDWQ.pdf" display="https://www.diodes.com/datasheet/download/DMNH6035SPDWQ.pdf"/>
    <hyperlink ref="C839" r:id="rId_hyperlink_1676" tooltip="DMNH6035SPDWQ" display="DMNH6035SPDWQ"/>
    <hyperlink ref="B840" r:id="rId_hyperlink_1677" tooltip="https://www.diodes.com/datasheet/download/DMNH6042SK3.pdf" display="https://www.diodes.com/datasheet/download/DMNH6042SK3.pdf"/>
    <hyperlink ref="C840" r:id="rId_hyperlink_1678" tooltip="DMNH6042SK3" display="DMNH6042SK3"/>
    <hyperlink ref="B841" r:id="rId_hyperlink_1679" tooltip="https://www.diodes.com/datasheet/download/DMNH6042SK3Q.pdf" display="https://www.diodes.com/datasheet/download/DMNH6042SK3Q.pdf"/>
    <hyperlink ref="C841" r:id="rId_hyperlink_1680" tooltip="DMNH6042SK3Q" display="DMNH6042SK3Q"/>
    <hyperlink ref="B842" r:id="rId_hyperlink_1681" tooltip="https://www.diodes.com/datasheet/download/DMNH6042SPD.pdf" display="https://www.diodes.com/datasheet/download/DMNH6042SPD.pdf"/>
    <hyperlink ref="C842" r:id="rId_hyperlink_1682" tooltip="DMNH6042SPD" display="DMNH6042SPD"/>
    <hyperlink ref="B843" r:id="rId_hyperlink_1683" tooltip="https://www.diodes.com/datasheet/download/DMNH6042SPDQ.pdf" display="https://www.diodes.com/datasheet/download/DMNH6042SPDQ.pdf"/>
    <hyperlink ref="C843" r:id="rId_hyperlink_1684" tooltip="DMNH6042SPDQ" display="DMNH6042SPDQ"/>
    <hyperlink ref="B844" r:id="rId_hyperlink_1685" tooltip="https://www.diodes.com/datasheet/download/DMNH6042SPS.pdf" display="https://www.diodes.com/datasheet/download/DMNH6042SPS.pdf"/>
    <hyperlink ref="C844" r:id="rId_hyperlink_1686" tooltip="DMNH6042SPS" display="DMNH6042SPS"/>
    <hyperlink ref="B845" r:id="rId_hyperlink_1687" tooltip="https://www.diodes.com/datasheet/download/DMNH6042SPSQ.pdf" display="https://www.diodes.com/datasheet/download/DMNH6042SPSQ.pdf"/>
    <hyperlink ref="C845" r:id="rId_hyperlink_1688" tooltip="DMNH6042SPSQ" display="DMNH6042SPSQ"/>
    <hyperlink ref="B846" r:id="rId_hyperlink_1689" tooltip="https://www.diodes.com/datasheet/download/DMNH6042SPSW.pdf" display="https://www.diodes.com/datasheet/download/DMNH6042SPSW.pdf"/>
    <hyperlink ref="C846" r:id="rId_hyperlink_1690" tooltip="DMNH6042SPSW" display="DMNH6042SPSW"/>
    <hyperlink ref="B847" r:id="rId_hyperlink_1691" tooltip="https://www.diodes.com/datasheet/download/DMNH6042SPSWQ.pdf" display="https://www.diodes.com/datasheet/download/DMNH6042SPSWQ.pdf"/>
    <hyperlink ref="C847" r:id="rId_hyperlink_1692" tooltip="DMNH6042SPSWQ" display="DMNH6042SPSWQ"/>
    <hyperlink ref="B848" r:id="rId_hyperlink_1693" tooltip="https://www.diodes.com/datasheet/download/DMNH6042SSD.pdf" display="https://www.diodes.com/datasheet/download/DMNH6042SSD.pdf"/>
    <hyperlink ref="C848" r:id="rId_hyperlink_1694" tooltip="DMNH6042SSD" display="DMNH6042SSD"/>
    <hyperlink ref="B849" r:id="rId_hyperlink_1695" tooltip="https://www.diodes.com/datasheet/download/DMNH6042SSDQ.pdf" display="https://www.diodes.com/datasheet/download/DMNH6042SSDQ.pdf"/>
    <hyperlink ref="C849" r:id="rId_hyperlink_1696" tooltip="DMNH6042SSDQ" display="DMNH6042SSDQ"/>
    <hyperlink ref="B850" r:id="rId_hyperlink_1697" tooltip="https://www.diodes.com/datasheet/download/DMNH6065SPDW.pdf" display="https://www.diodes.com/datasheet/download/DMNH6065SPDW.pdf"/>
    <hyperlink ref="C850" r:id="rId_hyperlink_1698" tooltip="DMNH6065SPDW" display="DMNH6065SPDW"/>
    <hyperlink ref="B851" r:id="rId_hyperlink_1699" tooltip="https://www.diodes.com/datasheet/download/DMNH6065SPDWQ.pdf" display="https://www.diodes.com/datasheet/download/DMNH6065SPDWQ.pdf"/>
    <hyperlink ref="C851" r:id="rId_hyperlink_1700" tooltip="DMNH6065SPDWQ" display="DMNH6065SPDWQ"/>
    <hyperlink ref="B852" r:id="rId_hyperlink_1701" tooltip="https://www.diodes.com/datasheet/download/DMNH6065SSD.pdf" display="https://www.diodes.com/datasheet/download/DMNH6065SSD.pdf"/>
    <hyperlink ref="C852" r:id="rId_hyperlink_1702" tooltip="DMNH6065SSD" display="DMNH6065SSD"/>
    <hyperlink ref="B853" r:id="rId_hyperlink_1703" tooltip="https://www.diodes.com/datasheet/download/DMNH6065SSDQ.pdf" display="https://www.diodes.com/datasheet/download/DMNH6065SSDQ.pdf"/>
    <hyperlink ref="C853" r:id="rId_hyperlink_1704" tooltip="DMNH6065SSDQ" display="DMNH6065SSDQ"/>
    <hyperlink ref="B854" r:id="rId_hyperlink_1705" tooltip="https://www.diodes.com/datasheet/download/DMNH6069SFVW.pdf" display="https://www.diodes.com/datasheet/download/DMNH6069SFVW.pdf"/>
    <hyperlink ref="C854" r:id="rId_hyperlink_1706" tooltip="DMNH6069SFVW" display="DMNH6069SFVW"/>
    <hyperlink ref="B855" r:id="rId_hyperlink_1707" tooltip="https://www.diodes.com/datasheet/download/DMNH6069SFVWQ.pdf" display="https://www.diodes.com/datasheet/download/DMNH6069SFVWQ.pdf"/>
    <hyperlink ref="C855" r:id="rId_hyperlink_1708" tooltip="DMNH6069SFVWQ" display="DMNH6069SFVWQ"/>
    <hyperlink ref="B856" r:id="rId_hyperlink_1709" tooltip="https://www.diodes.com/datasheet/download/DMP1005UFDF.pdf" display="https://www.diodes.com/datasheet/download/DMP1005UFDF.pdf"/>
    <hyperlink ref="C856" r:id="rId_hyperlink_1710" tooltip="DMP1005UFDF" display="DMP1005UFDF"/>
    <hyperlink ref="B857" r:id="rId_hyperlink_1711" tooltip="https://www.diodes.com/datasheet/download/DMP1007UCB9.pdf" display="https://www.diodes.com/datasheet/download/DMP1007UCB9.pdf"/>
    <hyperlink ref="C857" r:id="rId_hyperlink_1712" tooltip="DMP1007UCB9" display="DMP1007UCB9"/>
    <hyperlink ref="B858" r:id="rId_hyperlink_1713" tooltip="https://www.diodes.com/datasheet/download/DMP1008UCA9.pdf" display="https://www.diodes.com/datasheet/download/DMP1008UCA9.pdf"/>
    <hyperlink ref="C858" r:id="rId_hyperlink_1714" tooltip="DMP1008UCA9" display="DMP1008UCA9"/>
    <hyperlink ref="B859" r:id="rId_hyperlink_1715" tooltip="https://www.diodes.com/datasheet/download/DMP1008UCB9.pdf" display="https://www.diodes.com/datasheet/download/DMP1008UCB9.pdf"/>
    <hyperlink ref="C859" r:id="rId_hyperlink_1716" tooltip="DMP1008UCB9" display="DMP1008UCB9"/>
    <hyperlink ref="B860" r:id="rId_hyperlink_1717" tooltip="https://www.diodes.com/datasheet/download/DMP1009UFDF.pdf" display="https://www.diodes.com/datasheet/download/DMP1009UFDF.pdf"/>
    <hyperlink ref="C860" r:id="rId_hyperlink_1718" tooltip="DMP1009UFDF" display="DMP1009UFDF"/>
    <hyperlink ref="B861" r:id="rId_hyperlink_1719" tooltip="https://www.diodes.com/datasheet/download/DMP1009UFDFQ.pdf" display="https://www.diodes.com/datasheet/download/DMP1009UFDFQ.pdf"/>
    <hyperlink ref="C861" r:id="rId_hyperlink_1720" tooltip="DMP1009UFDFQ" display="DMP1009UFDFQ"/>
    <hyperlink ref="B862" r:id="rId_hyperlink_1721" tooltip="https://www.diodes.com/datasheet/download/DMP1010UCA4.pdf" display="https://www.diodes.com/datasheet/download/DMP1010UCA4.pdf"/>
    <hyperlink ref="C862" r:id="rId_hyperlink_1722" tooltip="DMP1010UCA4" display="DMP1010UCA4"/>
    <hyperlink ref="B863" r:id="rId_hyperlink_1723" tooltip="https://www.diodes.com/datasheet/download/DMP1011LFV.pdf" display="https://www.diodes.com/datasheet/download/DMP1011LFV.pdf"/>
    <hyperlink ref="C863" r:id="rId_hyperlink_1724" tooltip="DMP1011LFV" display="DMP1011LFV"/>
    <hyperlink ref="B864" r:id="rId_hyperlink_1725" tooltip="https://www.diodes.com/datasheet/download/DMP1011LFVQ.pdf" display="https://www.diodes.com/datasheet/download/DMP1011LFVQ.pdf"/>
    <hyperlink ref="C864" r:id="rId_hyperlink_1726" tooltip="DMP1011LFVQ" display="DMP1011LFVQ"/>
    <hyperlink ref="B865" r:id="rId_hyperlink_1727" tooltip="https://www.diodes.com/datasheet/download/DMP1011UCB9.pdf" display="https://www.diodes.com/datasheet/download/DMP1011UCB9.pdf"/>
    <hyperlink ref="C865" r:id="rId_hyperlink_1728" tooltip="DMP1011UCB9" display="DMP1011UCB9"/>
    <hyperlink ref="B866" r:id="rId_hyperlink_1729" tooltip="https://www.diodes.com/datasheet/download/DMP1012UFDF.pdf" display="https://www.diodes.com/datasheet/download/DMP1012UFDF.pdf"/>
    <hyperlink ref="C866" r:id="rId_hyperlink_1730" tooltip="DMP1012UFDF" display="DMP1012UFDF"/>
    <hyperlink ref="B867" r:id="rId_hyperlink_1731" tooltip="https://www.diodes.com/datasheet/download/DMP1012USS.pdf" display="https://www.diodes.com/datasheet/download/DMP1012USS.pdf"/>
    <hyperlink ref="C867" r:id="rId_hyperlink_1732" tooltip="DMP1012USS" display="DMP1012USS"/>
    <hyperlink ref="B868" r:id="rId_hyperlink_1733" tooltip="https://www.diodes.com/datasheet/download/DMP1012USSQ.pdf" display="https://www.diodes.com/datasheet/download/DMP1012USSQ.pdf"/>
    <hyperlink ref="C868" r:id="rId_hyperlink_1734" tooltip="DMP1012USSQ" display="DMP1012USSQ"/>
    <hyperlink ref="B869" r:id="rId_hyperlink_1735" tooltip="https://www.diodes.com/datasheet/download/DMP1022UFDEQ+.pdf" display="https://www.diodes.com/datasheet/download/DMP1022UFDEQ+.pdf"/>
    <hyperlink ref="C869" r:id="rId_hyperlink_1736" tooltip="DMP1022UFDEQ" display="DMP1022UFDEQ"/>
    <hyperlink ref="B870" r:id="rId_hyperlink_1737" tooltip="https://www.diodes.com/datasheet/download/DMP1022UFDF.pdf" display="https://www.diodes.com/datasheet/download/DMP1022UFDF.pdf"/>
    <hyperlink ref="C870" r:id="rId_hyperlink_1738" tooltip="DMP1022UFDF" display="DMP1022UFDF"/>
    <hyperlink ref="B871" r:id="rId_hyperlink_1739" tooltip="https://www.diodes.com/datasheet/download/DMP1022UWS.pdf" display="https://www.diodes.com/datasheet/download/DMP1022UWS.pdf"/>
    <hyperlink ref="C871" r:id="rId_hyperlink_1740" tooltip="DMP1022UWS" display="DMP1022UWS"/>
    <hyperlink ref="B872" r:id="rId_hyperlink_1741" tooltip="https://www.diodes.com/datasheet/download/DMP1045U.pdf" display="https://www.diodes.com/datasheet/download/DMP1045U.pdf"/>
    <hyperlink ref="C872" r:id="rId_hyperlink_1742" tooltip="DMP1045U" display="DMP1045U"/>
    <hyperlink ref="B873" r:id="rId_hyperlink_1743" tooltip="https://www.diodes.com/datasheet/download/DMP1045UCB4.pdf" display="https://www.diodes.com/datasheet/download/DMP1045UCB4.pdf"/>
    <hyperlink ref="C873" r:id="rId_hyperlink_1744" tooltip="DMP1045UCB4" display="DMP1045UCB4"/>
    <hyperlink ref="B874" r:id="rId_hyperlink_1745" tooltip="https://www.diodes.com/datasheet/download/DMP1045UFY4.pdf" display="https://www.diodes.com/datasheet/download/DMP1045UFY4.pdf"/>
    <hyperlink ref="C874" r:id="rId_hyperlink_1746" tooltip="DMP1045UFY4" display="DMP1045UFY4"/>
    <hyperlink ref="B875" r:id="rId_hyperlink_1747" tooltip="https://www.diodes.com/datasheet/download/DMP1045UQ.pdf" display="https://www.diodes.com/datasheet/download/DMP1045UQ.pdf"/>
    <hyperlink ref="C875" r:id="rId_hyperlink_1748" tooltip="DMP1045UQ" display="DMP1045UQ"/>
    <hyperlink ref="B876" r:id="rId_hyperlink_1749" tooltip="https://www.diodes.com/datasheet/download/DMP1046UFDB.pdf" display="https://www.diodes.com/datasheet/download/DMP1046UFDB.pdf"/>
    <hyperlink ref="C876" r:id="rId_hyperlink_1750" tooltip="DMP1046UFDB" display="DMP1046UFDB"/>
    <hyperlink ref="B877" r:id="rId_hyperlink_1751" tooltip="https://www.diodes.com/datasheet/download/DMP1055UFDB.pdf" display="https://www.diodes.com/datasheet/download/DMP1055UFDB.pdf"/>
    <hyperlink ref="C877" r:id="rId_hyperlink_1752" tooltip="DMP1055UFDB" display="DMP1055UFDB"/>
    <hyperlink ref="B878" r:id="rId_hyperlink_1753" tooltip="https://www.diodes.com/datasheet/download/DMP1055USW.pdf" display="https://www.diodes.com/datasheet/download/DMP1055USW.pdf"/>
    <hyperlink ref="C878" r:id="rId_hyperlink_1754" tooltip="DMP1055USW" display="DMP1055USW"/>
    <hyperlink ref="B879" r:id="rId_hyperlink_1755" tooltip="https://www.diodes.com/datasheet/download/DMP1070U.pdf" display="https://www.diodes.com/datasheet/download/DMP1070U.pdf"/>
    <hyperlink ref="C879" r:id="rId_hyperlink_1756" tooltip="DMP1070U" display="DMP1070U"/>
    <hyperlink ref="B880" r:id="rId_hyperlink_1757" tooltip="https://www.diodes.com/datasheet/download/DMP1070UCA3.pdf" display="https://www.diodes.com/datasheet/download/DMP1070UCA3.pdf"/>
    <hyperlink ref="C880" r:id="rId_hyperlink_1758" tooltip="DMP1070UCA3" display="DMP1070UCA3"/>
    <hyperlink ref="B881" r:id="rId_hyperlink_1759" tooltip="https://www.diodes.com/datasheet/download/DMP1070UFY4.pdf" display="https://www.diodes.com/datasheet/download/DMP1070UFY4.pdf"/>
    <hyperlink ref="C881" r:id="rId_hyperlink_1760" tooltip="DMP1070UFY4" display="DMP1070UFY4"/>
    <hyperlink ref="B882" r:id="rId_hyperlink_1761" tooltip="https://www.diodes.com/datasheet/download/DMP1070UFY4Q.pdf" display="https://www.diodes.com/datasheet/download/DMP1070UFY4Q.pdf"/>
    <hyperlink ref="C882" r:id="rId_hyperlink_1762" tooltip="DMP1070UFY4Q" display="DMP1070UFY4Q"/>
    <hyperlink ref="B883" r:id="rId_hyperlink_1763" tooltip="https://www.diodes.com/datasheet/download/DMP1070UQ.pdf" display="https://www.diodes.com/datasheet/download/DMP1070UQ.pdf"/>
    <hyperlink ref="C883" r:id="rId_hyperlink_1764" tooltip="DMP1070UQ" display="DMP1070UQ"/>
    <hyperlink ref="B884" r:id="rId_hyperlink_1765" tooltip="https://www.diodes.com/datasheet/download/DMP10H088SPS.pdf" display="https://www.diodes.com/datasheet/download/DMP10H088SPS.pdf"/>
    <hyperlink ref="C884" r:id="rId_hyperlink_1766" tooltip="DMP10H088SPS" display="DMP10H088SPS"/>
    <hyperlink ref="B885" r:id="rId_hyperlink_1767" tooltip="https://www.diodes.com/datasheet/download/DMP10H400SE.pdf" display="https://www.diodes.com/datasheet/download/DMP10H400SE.pdf"/>
    <hyperlink ref="C885" r:id="rId_hyperlink_1768" tooltip="DMP10H400SE" display="DMP10H400SE"/>
    <hyperlink ref="B886" r:id="rId_hyperlink_1769" tooltip="https://www.diodes.com/datasheet/download/DMP10H400SEQ.pdf" display="https://www.diodes.com/datasheet/download/DMP10H400SEQ.pdf"/>
    <hyperlink ref="C886" r:id="rId_hyperlink_1770" tooltip="DMP10H400SEQ" display="DMP10H400SEQ"/>
    <hyperlink ref="B887" r:id="rId_hyperlink_1771" tooltip="https://www.diodes.com/datasheet/download/DMP10H400SK3.pdf" display="https://www.diodes.com/datasheet/download/DMP10H400SK3.pdf"/>
    <hyperlink ref="C887" r:id="rId_hyperlink_1772" tooltip="DMP10H400SK3" display="DMP10H400SK3"/>
    <hyperlink ref="B888" r:id="rId_hyperlink_1773" tooltip="https://www.diodes.com/datasheet/download/DMP10H4D2S.pdf" display="https://www.diodes.com/datasheet/download/DMP10H4D2S.pdf"/>
    <hyperlink ref="C888" r:id="rId_hyperlink_1774" tooltip="DMP10H4D2S" display="DMP10H4D2S"/>
    <hyperlink ref="B889" r:id="rId_hyperlink_1775" tooltip="https://www.diodes.com/datasheet/download/DMP10H4D2SQ.pdf" display="https://www.diodes.com/datasheet/download/DMP10H4D2SQ.pdf"/>
    <hyperlink ref="C889" r:id="rId_hyperlink_1776" tooltip="DMP10H4D2SQ" display="DMP10H4D2SQ"/>
    <hyperlink ref="B890" r:id="rId_hyperlink_1777" tooltip="https://www.diodes.com/datasheet/download/DMP1100UCB4.pdf" display="https://www.diodes.com/datasheet/download/DMP1100UCB4.pdf"/>
    <hyperlink ref="C890" r:id="rId_hyperlink_1778" tooltip="DMP1100UCB4" display="DMP1100UCB4"/>
    <hyperlink ref="B891" r:id="rId_hyperlink_1779" tooltip="https://www.diodes.com/datasheet/download/DMP1200UFR4.pdf" display="https://www.diodes.com/datasheet/download/DMP1200UFR4.pdf"/>
    <hyperlink ref="C891" r:id="rId_hyperlink_1780" tooltip="DMP1200UFR4" display="DMP1200UFR4"/>
    <hyperlink ref="B892" r:id="rId_hyperlink_1781" tooltip="https://www.diodes.com/datasheet/download/DMP1245UFCL.pdf" display="https://www.diodes.com/datasheet/download/DMP1245UFCL.pdf"/>
    <hyperlink ref="C892" r:id="rId_hyperlink_1782" tooltip="DMP1245UFCL" display="DMP1245UFCL"/>
    <hyperlink ref="B893" r:id="rId_hyperlink_1783" tooltip="https://www.diodes.com/datasheet/download/DMP1555UFA.pdf" display="https://www.diodes.com/datasheet/download/DMP1555UFA.pdf"/>
    <hyperlink ref="C893" r:id="rId_hyperlink_1784" tooltip="DMP1555UFA" display="DMP1555UFA"/>
    <hyperlink ref="B894" r:id="rId_hyperlink_1785" tooltip="https://www.diodes.com/datasheet/download/DMP2002UPS.pdf" display="https://www.diodes.com/datasheet/download/DMP2002UPS.pdf"/>
    <hyperlink ref="C894" r:id="rId_hyperlink_1786" tooltip="DMP2002UPS" display="DMP2002UPS"/>
    <hyperlink ref="B895" r:id="rId_hyperlink_1787" tooltip="https://www.diodes.com/datasheet/download/DMP2003UPS.pdf" display="https://www.diodes.com/datasheet/download/DMP2003UPS.pdf"/>
    <hyperlink ref="C895" r:id="rId_hyperlink_1788" tooltip="DMP2003UPS" display="DMP2003UPS"/>
    <hyperlink ref="B896" r:id="rId_hyperlink_1789" tooltip="https://www.diodes.com/datasheet/download/DMP2004DMK.pdf" display="https://www.diodes.com/datasheet/download/DMP2004DMK.pdf"/>
    <hyperlink ref="C896" r:id="rId_hyperlink_1790" tooltip="DMP2004DMK" display="DMP2004DMK"/>
    <hyperlink ref="B897" r:id="rId_hyperlink_1791" tooltip="https://www.diodes.com/datasheet/download/DMP2004DWK.pdf" display="https://www.diodes.com/datasheet/download/DMP2004DWK.pdf"/>
    <hyperlink ref="C897" r:id="rId_hyperlink_1792" tooltip="DMP2004DWK" display="DMP2004DWK"/>
    <hyperlink ref="B898" r:id="rId_hyperlink_1793" tooltip="https://www.diodes.com/datasheet/download/DMP2004K.pdf" display="https://www.diodes.com/datasheet/download/DMP2004K.pdf"/>
    <hyperlink ref="C898" r:id="rId_hyperlink_1794" tooltip="DMP2004K" display="DMP2004K"/>
    <hyperlink ref="B899" r:id="rId_hyperlink_1795" tooltip="https://www.diodes.com/datasheet/download/DMP2004TK.pdf" display="https://www.diodes.com/datasheet/download/DMP2004TK.pdf"/>
    <hyperlink ref="C899" r:id="rId_hyperlink_1796" tooltip="DMP2004TK" display="DMP2004TK"/>
    <hyperlink ref="B900" r:id="rId_hyperlink_1797" tooltip="https://www.diodes.com/datasheet/download/DMP2004UFG.pdf" display="https://www.diodes.com/datasheet/download/DMP2004UFG.pdf"/>
    <hyperlink ref="C900" r:id="rId_hyperlink_1798" tooltip="DMP2004UFG" display="DMP2004UFG"/>
    <hyperlink ref="B901" r:id="rId_hyperlink_1799" tooltip="https://www.diodes.com/datasheet/download/DMP2004VK.pdf" display="https://www.diodes.com/datasheet/download/DMP2004VK.pdf"/>
    <hyperlink ref="C901" r:id="rId_hyperlink_1800" tooltip="DMP2004VK" display="DMP2004VK"/>
    <hyperlink ref="B902" r:id="rId_hyperlink_1801" tooltip="https://www.diodes.com/datasheet/download/DMP2004WK.pdf" display="https://www.diodes.com/datasheet/download/DMP2004WK.pdf"/>
    <hyperlink ref="C902" r:id="rId_hyperlink_1802" tooltip="DMP2004WK" display="DMP2004WK"/>
    <hyperlink ref="B903" r:id="rId_hyperlink_1803" tooltip="https://www.diodes.com/datasheet/download/DMP2005UFG.pdf" display="https://www.diodes.com/datasheet/download/DMP2005UFG.pdf"/>
    <hyperlink ref="C903" r:id="rId_hyperlink_1804" tooltip="DMP2005UFG" display="DMP2005UFG"/>
    <hyperlink ref="B904" r:id="rId_hyperlink_1805" tooltip="https://www.diodes.com/datasheet/download/DMP2006UFGQ.pdf" display="https://www.diodes.com/datasheet/download/DMP2006UFGQ.pdf"/>
    <hyperlink ref="C904" r:id="rId_hyperlink_1806" tooltip="DMP2006UFGQ" display="DMP2006UFGQ"/>
    <hyperlink ref="B905" r:id="rId_hyperlink_1807" tooltip="https://www.diodes.com/datasheet/download/DMP2007UFG.pdf" display="https://www.diodes.com/datasheet/download/DMP2007UFG.pdf"/>
    <hyperlink ref="C905" r:id="rId_hyperlink_1808" tooltip="DMP2007UFG" display="DMP2007UFG"/>
    <hyperlink ref="B906" r:id="rId_hyperlink_1809" tooltip="https://www.diodes.com/datasheet/download/DMP2008UFG.pdf" display="https://www.diodes.com/datasheet/download/DMP2008UFG.pdf"/>
    <hyperlink ref="C906" r:id="rId_hyperlink_1810" tooltip="DMP2008UFG" display="DMP2008UFG"/>
    <hyperlink ref="B907" r:id="rId_hyperlink_1811" tooltip="https://www.diodes.com/datasheet/download/DMP2008USS.pdf" display="https://www.diodes.com/datasheet/download/DMP2008USS.pdf"/>
    <hyperlink ref="C907" r:id="rId_hyperlink_1812" tooltip="DMP2008USS" display="DMP2008USS"/>
    <hyperlink ref="B908" r:id="rId_hyperlink_1813" tooltip="https://www.diodes.com/datasheet/download/DMP2010UFG.pdf" display="https://www.diodes.com/datasheet/download/DMP2010UFG.pdf"/>
    <hyperlink ref="C908" r:id="rId_hyperlink_1814" tooltip="DMP2010UFG" display="DMP2010UFG"/>
    <hyperlink ref="B909" r:id="rId_hyperlink_1815" tooltip="https://www.diodes.com/datasheet/download/DMP2010UFV.pdf" display="https://www.diodes.com/datasheet/download/DMP2010UFV.pdf"/>
    <hyperlink ref="C909" r:id="rId_hyperlink_1816" tooltip="DMP2010UFV" display="DMP2010UFV"/>
    <hyperlink ref="B910" r:id="rId_hyperlink_1817" tooltip="https://www.diodes.com/datasheet/download/DMP2012SN.pdf" display="https://www.diodes.com/datasheet/download/DMP2012SN.pdf"/>
    <hyperlink ref="C910" r:id="rId_hyperlink_1818" tooltip="DMP2012SN" display="DMP2012SN"/>
    <hyperlink ref="B911" r:id="rId_hyperlink_1819" tooltip="https://www.diodes.com/datasheet/download/DMP2012UFDE.pdf" display="https://www.diodes.com/datasheet/download/DMP2012UFDE.pdf"/>
    <hyperlink ref="C911" r:id="rId_hyperlink_1820" tooltip="DMP2012UFDE" display="DMP2012UFDE"/>
    <hyperlink ref="B912" r:id="rId_hyperlink_1821" tooltip="https://www.diodes.com/datasheet/download/DMP2016UFDF.pdf" display="https://www.diodes.com/datasheet/download/DMP2016UFDF.pdf"/>
    <hyperlink ref="C912" r:id="rId_hyperlink_1822" tooltip="DMP2016UFDF" display="DMP2016UFDF"/>
    <hyperlink ref="B913" r:id="rId_hyperlink_1823" tooltip="https://www.diodes.com/datasheet/download/DMP2018LFK.pdf" display="https://www.diodes.com/datasheet/download/DMP2018LFK.pdf"/>
    <hyperlink ref="C913" r:id="rId_hyperlink_1824" tooltip="DMP2018LFK" display="DMP2018LFK"/>
    <hyperlink ref="B914" r:id="rId_hyperlink_1825" tooltip="https://www.diodes.com/datasheet/download/DMP2021UFDE.pdf" display="https://www.diodes.com/datasheet/download/DMP2021UFDE.pdf"/>
    <hyperlink ref="C914" r:id="rId_hyperlink_1826" tooltip="DMP2021UFDE" display="DMP2021UFDE"/>
    <hyperlink ref="B915" r:id="rId_hyperlink_1827" tooltip="https://www.diodes.com/datasheet/download/DMP2021UFDF.pdf" display="https://www.diodes.com/datasheet/download/DMP2021UFDF.pdf"/>
    <hyperlink ref="C915" r:id="rId_hyperlink_1828" tooltip="DMP2021UFDF" display="DMP2021UFDF"/>
    <hyperlink ref="B916" r:id="rId_hyperlink_1829" tooltip="https://www.diodes.com/datasheet/download/DMP2021UTS.pdf" display="https://www.diodes.com/datasheet/download/DMP2021UTS.pdf"/>
    <hyperlink ref="C916" r:id="rId_hyperlink_1830" tooltip="DMP2021UTS" display="DMP2021UTS"/>
    <hyperlink ref="B917" r:id="rId_hyperlink_1831" tooltip="https://www.diodes.com/datasheet/download/DMP2021UTSQ.pdf" display="https://www.diodes.com/datasheet/download/DMP2021UTSQ.pdf"/>
    <hyperlink ref="C917" r:id="rId_hyperlink_1832" tooltip="DMP2021UTSQ" display="DMP2021UTSQ"/>
    <hyperlink ref="B918" r:id="rId_hyperlink_1833" tooltip="https://www.diodes.com/datasheet/download/DMP2022LSS.pdf" display="https://www.diodes.com/datasheet/download/DMP2022LSS.pdf"/>
    <hyperlink ref="C918" r:id="rId_hyperlink_1834" tooltip="DMP2022LSS" display="DMP2022LSS"/>
    <hyperlink ref="B919" r:id="rId_hyperlink_1835" tooltip="https://www.diodes.com/datasheet/download/DMP2022LSSQ.pdf" display="https://www.diodes.com/datasheet/download/DMP2022LSSQ.pdf"/>
    <hyperlink ref="C919" r:id="rId_hyperlink_1836" tooltip="DMP2022LSSQ" display="DMP2022LSSQ"/>
    <hyperlink ref="B920" r:id="rId_hyperlink_1837" tooltip="https://www.diodes.com/datasheet/download/DMP2023UFDF.pdf" display="https://www.diodes.com/datasheet/download/DMP2023UFDF.pdf"/>
    <hyperlink ref="C920" r:id="rId_hyperlink_1838" tooltip="DMP2023UFDF" display="DMP2023UFDF"/>
    <hyperlink ref="B921" r:id="rId_hyperlink_1839" tooltip="https://www.diodes.com/datasheet/download/DMP2033UVT.pdf" display="https://www.diodes.com/datasheet/download/DMP2033UVT.pdf"/>
    <hyperlink ref="C921" r:id="rId_hyperlink_1840" tooltip="DMP2033UVT" display="DMP2033UVT"/>
    <hyperlink ref="B922" r:id="rId_hyperlink_1841" tooltip="https://www.diodes.com/datasheet/download/DMP2035U.pdf" display="https://www.diodes.com/datasheet/download/DMP2035U.pdf"/>
    <hyperlink ref="C922" r:id="rId_hyperlink_1842" tooltip="DMP2035U" display="DMP2035U"/>
    <hyperlink ref="B923" r:id="rId_hyperlink_1843" tooltip="https://www.diodes.com/datasheet/download/DMP2035UFCL.pdf" display="https://www.diodes.com/datasheet/download/DMP2035UFCL.pdf"/>
    <hyperlink ref="C923" r:id="rId_hyperlink_1844" tooltip="DMP2035UFCL" display="DMP2035UFCL"/>
    <hyperlink ref="B924" r:id="rId_hyperlink_1845" tooltip="https://www.diodes.com/datasheet/download/DMP2035UFDF.pdf" display="https://www.diodes.com/datasheet/download/DMP2035UFDF.pdf"/>
    <hyperlink ref="C924" r:id="rId_hyperlink_1846" tooltip="DMP2035UFDF" display="DMP2035UFDF"/>
    <hyperlink ref="B925" r:id="rId_hyperlink_1847" tooltip="https://www.diodes.com/datasheet/download/DMP2035UTS.pdf" display="https://www.diodes.com/datasheet/download/DMP2035UTS.pdf"/>
    <hyperlink ref="C925" r:id="rId_hyperlink_1848" tooltip="DMP2035UTS" display="DMP2035UTS"/>
    <hyperlink ref="B926" r:id="rId_hyperlink_1849" tooltip="https://www.diodes.com/datasheet/download/DMP2035UVT.pdf" display="https://www.diodes.com/datasheet/download/DMP2035UVT.pdf"/>
    <hyperlink ref="C926" r:id="rId_hyperlink_1850" tooltip="DMP2035UVT" display="DMP2035UVT"/>
    <hyperlink ref="B927" r:id="rId_hyperlink_1851" tooltip="https://www.diodes.com/datasheet/download/DMP2035UVTQ.pdf" display="https://www.diodes.com/datasheet/download/DMP2035UVTQ.pdf"/>
    <hyperlink ref="C927" r:id="rId_hyperlink_1852" tooltip="DMP2035UVTQ" display="DMP2035UVTQ"/>
    <hyperlink ref="B928" r:id="rId_hyperlink_1853" tooltip="https://www.diodes.com/datasheet/download/DMP2036UVT.pdf" display="https://www.diodes.com/datasheet/download/DMP2036UVT.pdf"/>
    <hyperlink ref="C928" r:id="rId_hyperlink_1854" tooltip="DMP2036UVT" display="DMP2036UVT"/>
    <hyperlink ref="B929" r:id="rId_hyperlink_1855" tooltip="https://www.diodes.com/datasheet/download/DMP2036UVTQ.pdf" display="https://www.diodes.com/datasheet/download/DMP2036UVTQ.pdf"/>
    <hyperlink ref="C929" r:id="rId_hyperlink_1856" tooltip="DMP2036UVTQ" display="DMP2036UVTQ"/>
    <hyperlink ref="B930" r:id="rId_hyperlink_1857" tooltip="https://www.diodes.com/datasheet/download/DMP2037U.pdf" display="https://www.diodes.com/datasheet/download/DMP2037U.pdf"/>
    <hyperlink ref="C930" r:id="rId_hyperlink_1858" tooltip="DMP2037U" display="DMP2037U"/>
    <hyperlink ref="B931" r:id="rId_hyperlink_1859" tooltip="https://www.diodes.com/datasheet/download/DMP2037UFCL.pdf" display="https://www.diodes.com/datasheet/download/DMP2037UFCL.pdf"/>
    <hyperlink ref="C931" r:id="rId_hyperlink_1860" tooltip="DMP2037UFCL" display="DMP2037UFCL"/>
    <hyperlink ref="B932" r:id="rId_hyperlink_1861" tooltip="https://www.diodes.com/datasheet/download/DMP2039UFDE.pdf" display="https://www.diodes.com/datasheet/download/DMP2039UFDE.pdf"/>
    <hyperlink ref="C932" r:id="rId_hyperlink_1862" tooltip="DMP2039UFDE" display="DMP2039UFDE"/>
    <hyperlink ref="B933" r:id="rId_hyperlink_1863" tooltip="https://www.diodes.com/datasheet/download/DMP2039UFDE4.pdf" display="https://www.diodes.com/datasheet/download/DMP2039UFDE4.pdf"/>
    <hyperlink ref="C933" r:id="rId_hyperlink_1864" tooltip="DMP2039UFDE4" display="DMP2039UFDE4"/>
    <hyperlink ref="B934" r:id="rId_hyperlink_1865" tooltip="https://www.diodes.com/datasheet/download/DMP2040UFDF.pdf" display="https://www.diodes.com/datasheet/download/DMP2040UFDF.pdf"/>
    <hyperlink ref="C934" r:id="rId_hyperlink_1866" tooltip="DMP2040UFDF" display="DMP2040UFDF"/>
    <hyperlink ref="B935" r:id="rId_hyperlink_1867" tooltip="https://www.diodes.com/datasheet/download/DMP2040UND.pdf" display="https://www.diodes.com/datasheet/download/DMP2040UND.pdf"/>
    <hyperlink ref="C935" r:id="rId_hyperlink_1868" tooltip="DMP2040UND" display="DMP2040UND"/>
    <hyperlink ref="B936" r:id="rId_hyperlink_1869" tooltip="https://www.diodes.com/datasheet/download/DMP2040USD.pdf" display="https://www.diodes.com/datasheet/download/DMP2040USD.pdf"/>
    <hyperlink ref="C936" r:id="rId_hyperlink_1870" tooltip="DMP2040USD" display="DMP2040USD"/>
    <hyperlink ref="B937" r:id="rId_hyperlink_1871" tooltip="https://www.diodes.com/datasheet/download/DMP2040USS.pdf" display="https://www.diodes.com/datasheet/download/DMP2040USS.pdf"/>
    <hyperlink ref="C937" r:id="rId_hyperlink_1872" tooltip="DMP2040USS" display="DMP2040USS"/>
    <hyperlink ref="B938" r:id="rId_hyperlink_1873" tooltip="https://www.diodes.com/datasheet/download/DMP2040UVT.pdf" display="https://www.diodes.com/datasheet/download/DMP2040UVT.pdf"/>
    <hyperlink ref="C938" r:id="rId_hyperlink_1874" tooltip="DMP2040UVT" display="DMP2040UVT"/>
    <hyperlink ref="B939" r:id="rId_hyperlink_1875" tooltip="https://www.diodes.com/datasheet/download/DMP2040UVTQ.pdf" display="https://www.diodes.com/datasheet/download/DMP2040UVTQ.pdf"/>
    <hyperlink ref="C939" r:id="rId_hyperlink_1876" tooltip="DMP2040UVTQ" display="DMP2040UVTQ"/>
    <hyperlink ref="B940" r:id="rId_hyperlink_1877" tooltip="https://www.diodes.com/datasheet/download/DMP2042UCP4.pdf" display="https://www.diodes.com/datasheet/download/DMP2042UCP4.pdf"/>
    <hyperlink ref="C940" r:id="rId_hyperlink_1878" tooltip="DMP2042UCP4" display="DMP2042UCP4"/>
    <hyperlink ref="B941" r:id="rId_hyperlink_1879" tooltip="https://www.diodes.com/datasheet/download/DMP2043UCA3.pdf" display="https://www.diodes.com/datasheet/download/DMP2043UCA3.pdf"/>
    <hyperlink ref="C941" r:id="rId_hyperlink_1880" tooltip="DMP2043UCA3" display="DMP2043UCA3"/>
    <hyperlink ref="B942" r:id="rId_hyperlink_1881" tooltip="https://www.diodes.com/datasheet/download/DMP2045U.pdf" display="https://www.diodes.com/datasheet/download/DMP2045U.pdf"/>
    <hyperlink ref="C942" r:id="rId_hyperlink_1882" tooltip="DMP2045U" display="DMP2045U"/>
    <hyperlink ref="B943" r:id="rId_hyperlink_1883" tooltip="https://www.diodes.com/datasheet/download/DMP2045UFDB.pdf" display="https://www.diodes.com/datasheet/download/DMP2045UFDB.pdf"/>
    <hyperlink ref="C943" r:id="rId_hyperlink_1884" tooltip="DMP2045UFDB" display="DMP2045UFDB"/>
    <hyperlink ref="B944" r:id="rId_hyperlink_1885" tooltip="https://www.diodes.com/datasheet/download/DMP2045UFY4.pdf" display="https://www.diodes.com/datasheet/download/DMP2045UFY4.pdf"/>
    <hyperlink ref="C944" r:id="rId_hyperlink_1886" tooltip="DMP2045UFY4" display="DMP2045UFY4"/>
    <hyperlink ref="B945" r:id="rId_hyperlink_1887" tooltip="https://www.diodes.com/datasheet/download/DMP2045UQ.pdf" display="https://www.diodes.com/datasheet/download/DMP2045UQ.pdf"/>
    <hyperlink ref="C945" r:id="rId_hyperlink_1888" tooltip="DMP2045UQ" display="DMP2045UQ"/>
    <hyperlink ref="B946" r:id="rId_hyperlink_1889" tooltip="https://www.diodes.com/datasheet/download/DMP2047UCB4.pdf" display="https://www.diodes.com/datasheet/download/DMP2047UCB4.pdf"/>
    <hyperlink ref="C946" r:id="rId_hyperlink_1890" tooltip="DMP2047UCB4" display="DMP2047UCB4"/>
    <hyperlink ref="B947" r:id="rId_hyperlink_1891" tooltip="https://www.diodes.com/datasheet/download/DMP2056UCA4.pdf" display="https://www.diodes.com/datasheet/download/DMP2056UCA4.pdf"/>
    <hyperlink ref="C947" r:id="rId_hyperlink_1892" tooltip="DMP2056UCA4" display="DMP2056UCA4"/>
    <hyperlink ref="B948" r:id="rId_hyperlink_1893" tooltip="https://www.diodes.com/datasheet/download/DMP2065U.pdf" display="https://www.diodes.com/datasheet/download/DMP2065U.pdf"/>
    <hyperlink ref="C948" r:id="rId_hyperlink_1894" tooltip="DMP2065U" display="DMP2065U"/>
    <hyperlink ref="B949" r:id="rId_hyperlink_1895" tooltip="https://www.diodes.com/datasheet/download/DMP2065UFDB.pdf" display="https://www.diodes.com/datasheet/download/DMP2065UFDB.pdf"/>
    <hyperlink ref="C949" r:id="rId_hyperlink_1896" tooltip="DMP2065UFDB" display="DMP2065UFDB"/>
    <hyperlink ref="B950" r:id="rId_hyperlink_1897" tooltip="https://www.diodes.com/datasheet/download/DMP2065UQ.pdf" display="https://www.diodes.com/datasheet/download/DMP2065UQ.pdf"/>
    <hyperlink ref="C950" r:id="rId_hyperlink_1898" tooltip="DMP2065UQ" display="DMP2065UQ"/>
    <hyperlink ref="B951" r:id="rId_hyperlink_1899" tooltip="https://www.diodes.com/datasheet/download/DMP2066LSN.pdf" display="https://www.diodes.com/datasheet/download/DMP2066LSN.pdf"/>
    <hyperlink ref="C951" r:id="rId_hyperlink_1900" tooltip="DMP2066LSN" display="DMP2066LSN"/>
    <hyperlink ref="B952" r:id="rId_hyperlink_1901" tooltip="https://www.diodes.com/datasheet/download/DMP2066LVT.pdf" display="https://www.diodes.com/datasheet/download/DMP2066LVT.pdf"/>
    <hyperlink ref="C952" r:id="rId_hyperlink_1902" tooltip="DMP2066LVT" display="DMP2066LVT"/>
    <hyperlink ref="B953" r:id="rId_hyperlink_1903" tooltip="https://www.diodes.com/datasheet/download/DMP2066UFDE.pdf" display="https://www.diodes.com/datasheet/download/DMP2066UFDE.pdf"/>
    <hyperlink ref="C953" r:id="rId_hyperlink_1904" tooltip="DMP2066UFDE" display="DMP2066UFDE"/>
    <hyperlink ref="B954" r:id="rId_hyperlink_1905" tooltip="https://www.diodes.com/datasheet/download/DMP2067LSS.pdf" display="https://www.diodes.com/datasheet/download/DMP2067LSS.pdf"/>
    <hyperlink ref="C954" r:id="rId_hyperlink_1906" tooltip="DMP2067LSS" display="DMP2067LSS"/>
    <hyperlink ref="B955" r:id="rId_hyperlink_1907" tooltip="https://www.diodes.com/datasheet/download/DMP2067LVT.pdf" display="https://www.diodes.com/datasheet/download/DMP2067LVT.pdf"/>
    <hyperlink ref="C955" r:id="rId_hyperlink_1908" tooltip="DMP2067LVT" display="DMP2067LVT"/>
    <hyperlink ref="B956" r:id="rId_hyperlink_1909" tooltip="https://www.diodes.com/datasheet/download/DMP2067LVTQ.pdf" display="https://www.diodes.com/datasheet/download/DMP2067LVTQ.pdf"/>
    <hyperlink ref="C956" r:id="rId_hyperlink_1910" tooltip="DMP2067LVTQ" display="DMP2067LVTQ"/>
    <hyperlink ref="B957" r:id="rId_hyperlink_1911" tooltip="https://www.diodes.com/datasheet/download/DMP2068UFY4.pdf" display="https://www.diodes.com/datasheet/download/DMP2068UFY4.pdf"/>
    <hyperlink ref="C957" r:id="rId_hyperlink_1912" tooltip="DMP2068UFY4" display="DMP2068UFY4"/>
    <hyperlink ref="B958" r:id="rId_hyperlink_1913" tooltip="https://www.diodes.com/datasheet/download/DMP2068UFY4Q.pdf" display="https://www.diodes.com/datasheet/download/DMP2068UFY4Q.pdf"/>
    <hyperlink ref="C958" r:id="rId_hyperlink_1914" tooltip="DMP2068UFY4Q" display="DMP2068UFY4Q"/>
    <hyperlink ref="B959" r:id="rId_hyperlink_1915" tooltip="https://www.diodes.com/datasheet/download/DMP2069UFY4.pdf" display="https://www.diodes.com/datasheet/download/DMP2069UFY4.pdf"/>
    <hyperlink ref="C959" r:id="rId_hyperlink_1916" tooltip="DMP2069UFY4" display="DMP2069UFY4"/>
    <hyperlink ref="B960" r:id="rId_hyperlink_1917" tooltip="https://www.diodes.com/datasheet/download/DMP2069UFY4Q.pdf" display="https://www.diodes.com/datasheet/download/DMP2069UFY4Q.pdf"/>
    <hyperlink ref="C960" r:id="rId_hyperlink_1918" tooltip="DMP2069UFY4Q" display="DMP2069UFY4Q"/>
    <hyperlink ref="B961" r:id="rId_hyperlink_1919" tooltip="https://www.diodes.com/datasheet/download/DMP2070U.pdf" display="https://www.diodes.com/datasheet/download/DMP2070U.pdf"/>
    <hyperlink ref="C961" r:id="rId_hyperlink_1920" tooltip="DMP2070U" display="DMP2070U"/>
    <hyperlink ref="B962" r:id="rId_hyperlink_1921" tooltip="https://www.diodes.com/datasheet/download/DMP2070UFY4.pdf" display="https://www.diodes.com/datasheet/download/DMP2070UFY4.pdf"/>
    <hyperlink ref="C962" r:id="rId_hyperlink_1922" tooltip="DMP2070UFY4" display="DMP2070UFY4"/>
    <hyperlink ref="B963" r:id="rId_hyperlink_1923" tooltip="https://www.diodes.com/datasheet/download/DMP2070UFY4Q.pdf" display="https://www.diodes.com/datasheet/download/DMP2070UFY4Q.pdf"/>
    <hyperlink ref="C963" r:id="rId_hyperlink_1924" tooltip="DMP2070UFY4Q" display="DMP2070UFY4Q"/>
    <hyperlink ref="B964" r:id="rId_hyperlink_1925" tooltip="https://www.diodes.com/datasheet/download/DMP2070UQ.pdf" display="https://www.diodes.com/datasheet/download/DMP2070UQ.pdf"/>
    <hyperlink ref="C964" r:id="rId_hyperlink_1926" tooltip="DMP2070UQ" display="DMP2070UQ"/>
    <hyperlink ref="B965" r:id="rId_hyperlink_1927" tooltip="https://www.diodes.com/datasheet/download/DMP2075UFDB.pdf" display="https://www.diodes.com/datasheet/download/DMP2075UFDB.pdf"/>
    <hyperlink ref="C965" r:id="rId_hyperlink_1928" tooltip="DMP2075UFDB" display="DMP2075UFDB"/>
    <hyperlink ref="B966" r:id="rId_hyperlink_1929" tooltip="https://www.diodes.com/datasheet/download/DMP2075UVT.pdf" display="https://www.diodes.com/datasheet/download/DMP2075UVT.pdf"/>
    <hyperlink ref="C966" r:id="rId_hyperlink_1930" tooltip="DMP2075UVT" display="DMP2075UVT"/>
    <hyperlink ref="B967" r:id="rId_hyperlink_1931" tooltip="https://www.diodes.com/datasheet/download/DMP2077UCA3.pdf" display="https://www.diodes.com/datasheet/download/DMP2077UCA3.pdf"/>
    <hyperlink ref="C967" r:id="rId_hyperlink_1932" tooltip="DMP2077UCA3" display="DMP2077UCA3"/>
    <hyperlink ref="B968" r:id="rId_hyperlink_1933" tooltip="https://www.diodes.com/datasheet/download/DMP2078LCA3.pdf" display="https://www.diodes.com/datasheet/download/DMP2078LCA3.pdf"/>
    <hyperlink ref="C968" r:id="rId_hyperlink_1934" tooltip="DMP2078LCA3" display="DMP2078LCA3"/>
    <hyperlink ref="B969" r:id="rId_hyperlink_1935" tooltip="https://www.diodes.com/datasheet/download/DMP2079LCA3.pdf" display="https://www.diodes.com/datasheet/download/DMP2079LCA3.pdf"/>
    <hyperlink ref="C969" r:id="rId_hyperlink_1936" tooltip="DMP2079LCA3" display="DMP2079LCA3"/>
    <hyperlink ref="B970" r:id="rId_hyperlink_1937" tooltip="https://www.diodes.com/datasheet/download/DMP2090UFDB.pdf" display="https://www.diodes.com/datasheet/download/DMP2090UFDB.pdf"/>
    <hyperlink ref="C970" r:id="rId_hyperlink_1938" tooltip="DMP2090UFDB" display="DMP2090UFDB"/>
    <hyperlink ref="B971" r:id="rId_hyperlink_1939" tooltip="https://www.diodes.com/datasheet/download/DMP2100UFU.pdf" display="https://www.diodes.com/datasheet/download/DMP2100UFU.pdf"/>
    <hyperlink ref="C971" r:id="rId_hyperlink_1940" tooltip="DMP2100UFU" display="DMP2100UFU"/>
    <hyperlink ref="B972" r:id="rId_hyperlink_1941" tooltip="https://www.diodes.com/datasheet/download/DMP2101UCP9.pdf" display="https://www.diodes.com/datasheet/download/DMP2101UCP9.pdf"/>
    <hyperlink ref="C972" r:id="rId_hyperlink_1942" tooltip="DMP2101UCP9" display="DMP2101UCP9"/>
    <hyperlink ref="B973" r:id="rId_hyperlink_1943" tooltip="https://www.diodes.com/datasheet/download/DMP2104LP.pdf" display="https://www.diodes.com/datasheet/download/DMP2104LP.pdf"/>
    <hyperlink ref="C973" r:id="rId_hyperlink_1944" tooltip="DMP2104LP" display="DMP2104LP"/>
    <hyperlink ref="B974" r:id="rId_hyperlink_1945" tooltip="https://www.diodes.com/datasheet/download/DMP2104V.pdf" display="https://www.diodes.com/datasheet/download/DMP2104V.pdf"/>
    <hyperlink ref="C974" r:id="rId_hyperlink_1946" tooltip="DMP2104V" display="DMP2104V"/>
    <hyperlink ref="B975" r:id="rId_hyperlink_1947" tooltip="https://www.diodes.com/datasheet/download/DMP2109UVT.pdf" display="https://www.diodes.com/datasheet/download/DMP2109UVT.pdf"/>
    <hyperlink ref="C975" r:id="rId_hyperlink_1948" tooltip="DMP2109UVT" display="DMP2109UVT"/>
    <hyperlink ref="B976" r:id="rId_hyperlink_1949" tooltip="https://www.diodes.com/datasheet/download/DMP2109UVTQ.pdf" display="https://www.diodes.com/datasheet/download/DMP2109UVTQ.pdf"/>
    <hyperlink ref="C976" r:id="rId_hyperlink_1950" tooltip="DMP2109UVTQ" display="DMP2109UVTQ"/>
    <hyperlink ref="B977" r:id="rId_hyperlink_1951" tooltip="https://www.diodes.com/datasheet/download/DMP2110U.pdf" display="https://www.diodes.com/datasheet/download/DMP2110U.pdf"/>
    <hyperlink ref="C977" r:id="rId_hyperlink_1952" tooltip="DMP2110U" display="DMP2110U"/>
    <hyperlink ref="B978" r:id="rId_hyperlink_1953" tooltip="https://www.diodes.com/datasheet/download/DMP2110UFDB.pdf" display="https://www.diodes.com/datasheet/download/DMP2110UFDB.pdf"/>
    <hyperlink ref="C978" r:id="rId_hyperlink_1954" tooltip="DMP2110UFDB" display="DMP2110UFDB"/>
    <hyperlink ref="B979" r:id="rId_hyperlink_1955" tooltip="https://www.diodes.com/datasheet/download/DMP2110UFDBQ.pdf" display="https://www.diodes.com/datasheet/download/DMP2110UFDBQ.pdf"/>
    <hyperlink ref="C979" r:id="rId_hyperlink_1956" tooltip="DMP2110UFDBQ" display="DMP2110UFDBQ"/>
    <hyperlink ref="B980" r:id="rId_hyperlink_1957" tooltip="https://www.diodes.com/datasheet/download/DMP2110UQ.pdf" display="https://www.diodes.com/datasheet/download/DMP2110UQ.pdf"/>
    <hyperlink ref="C980" r:id="rId_hyperlink_1958" tooltip="DMP2110UQ" display="DMP2110UQ"/>
    <hyperlink ref="B981" r:id="rId_hyperlink_1959" tooltip="https://www.diodes.com/datasheet/download/DMP2110UVT.pdf" display="https://www.diodes.com/datasheet/download/DMP2110UVT.pdf"/>
    <hyperlink ref="C981" r:id="rId_hyperlink_1960" tooltip="DMP2110UVT" display="DMP2110UVT"/>
    <hyperlink ref="B982" r:id="rId_hyperlink_1961" tooltip="https://www.diodes.com/datasheet/download/DMP2110UVTQ.pdf" display="https://www.diodes.com/datasheet/download/DMP2110UVTQ.pdf"/>
    <hyperlink ref="C982" r:id="rId_hyperlink_1962" tooltip="DMP2110UVTQ" display="DMP2110UVTQ"/>
    <hyperlink ref="B983" r:id="rId_hyperlink_1963" tooltip="https://www.diodes.com/datasheet/download/DMP2110UW.pdf" display="https://www.diodes.com/datasheet/download/DMP2110UW.pdf"/>
    <hyperlink ref="C983" r:id="rId_hyperlink_1964" tooltip="DMP2110UW" display="DMP2110UW"/>
    <hyperlink ref="B984" r:id="rId_hyperlink_1965" tooltip="https://www.diodes.com/datasheet/download/DMP2120U.pdf" display="https://www.diodes.com/datasheet/download/DMP2120U.pdf"/>
    <hyperlink ref="C984" r:id="rId_hyperlink_1966" tooltip="DMP2120U" display="DMP2120U"/>
    <hyperlink ref="B985" r:id="rId_hyperlink_1967" tooltip="https://www.diodes.com/datasheet/download/DMP2123L.pdf" display="https://www.diodes.com/datasheet/download/DMP2123L.pdf"/>
    <hyperlink ref="C985" r:id="rId_hyperlink_1968" tooltip="DMP2123L" display="DMP2123L"/>
    <hyperlink ref="B986" r:id="rId_hyperlink_1969" tooltip="https://www.diodes.com/datasheet/download/DMP2123LQ.pdf" display="https://www.diodes.com/datasheet/download/DMP2123LQ.pdf"/>
    <hyperlink ref="C986" r:id="rId_hyperlink_1970" tooltip="DMP2123LQ" display="DMP2123LQ"/>
    <hyperlink ref="B987" r:id="rId_hyperlink_1971" tooltip="https://www.diodes.com/datasheet/download/DMP2130L.pdf" display="https://www.diodes.com/datasheet/download/DMP2130L.pdf"/>
    <hyperlink ref="C987" r:id="rId_hyperlink_1972" tooltip="DMP2130L" display="DMP2130L"/>
    <hyperlink ref="B988" r:id="rId_hyperlink_1973" tooltip="https://www.diodes.com/datasheet/download/DMP2130LDM.pdf" display="https://www.diodes.com/datasheet/download/DMP2130LDM.pdf"/>
    <hyperlink ref="C988" r:id="rId_hyperlink_1974" tooltip="DMP2130LDM" display="DMP2130LDM"/>
    <hyperlink ref="B989" r:id="rId_hyperlink_1975" tooltip="https://www.diodes.com/datasheet/download/DMP213DUFA.pdf" display="https://www.diodes.com/datasheet/download/DMP213DUFA.pdf"/>
    <hyperlink ref="C989" r:id="rId_hyperlink_1976" tooltip="DMP213DUFA" display="DMP213DUFA"/>
    <hyperlink ref="B990" r:id="rId_hyperlink_1977" tooltip="https://www.diodes.com/datasheet/download/DMP2160UWQ.pdf" display="https://www.diodes.com/datasheet/download/DMP2160UWQ.pdf"/>
    <hyperlink ref="C990" r:id="rId_hyperlink_1978" tooltip="DMP2160UWQ" display="DMP2160UWQ"/>
    <hyperlink ref="B991" r:id="rId_hyperlink_1979" tooltip="https://www.diodes.com/datasheet/download/DMP2165UW.pdf" display="https://www.diodes.com/datasheet/download/DMP2165UW.pdf"/>
    <hyperlink ref="C991" r:id="rId_hyperlink_1980" tooltip="DMP2165UW" display="DMP2165UW"/>
    <hyperlink ref="B992" r:id="rId_hyperlink_1981" tooltip="https://www.diodes.com/datasheet/download/DMP2170U.pdf" display="https://www.diodes.com/datasheet/download/DMP2170U.pdf"/>
    <hyperlink ref="C992" r:id="rId_hyperlink_1982" tooltip="DMP2170U" display="DMP2170U"/>
    <hyperlink ref="B993" r:id="rId_hyperlink_1983" tooltip="https://www.diodes.com/datasheet/download/DMP21D0UFB.pdf" display="https://www.diodes.com/datasheet/download/DMP21D0UFB.pdf"/>
    <hyperlink ref="C993" r:id="rId_hyperlink_1984" tooltip="DMP21D0UFB" display="DMP21D0UFB"/>
    <hyperlink ref="B994" r:id="rId_hyperlink_1985" tooltip="https://www.diodes.com/datasheet/download/DMP21D0UFB4.pdf" display="https://www.diodes.com/datasheet/download/DMP21D0UFB4.pdf"/>
    <hyperlink ref="C994" r:id="rId_hyperlink_1986" tooltip="DMP21D0UFB4" display="DMP21D0UFB4"/>
    <hyperlink ref="B995" r:id="rId_hyperlink_1987" tooltip="https://www.diodes.com/datasheet/download/DMP21D0UFD.pdf" display="https://www.diodes.com/datasheet/download/DMP21D0UFD.pdf"/>
    <hyperlink ref="C995" r:id="rId_hyperlink_1988" tooltip="DMP21D0UFD" display="DMP21D0UFD"/>
    <hyperlink ref="B996" r:id="rId_hyperlink_1989" tooltip="https://www.diodes.com/datasheet/download/DMP21D0UT.pdf" display="https://www.diodes.com/datasheet/download/DMP21D0UT.pdf"/>
    <hyperlink ref="C996" r:id="rId_hyperlink_1990" tooltip="DMP21D0UT" display="DMP21D0UT"/>
    <hyperlink ref="B997" r:id="rId_hyperlink_1991" tooltip="https://www.diodes.com/datasheet/download/DMP21D1UT.pdf" display="https://www.diodes.com/datasheet/download/DMP21D1UT.pdf"/>
    <hyperlink ref="C997" r:id="rId_hyperlink_1992" tooltip="DMP21D1UT" display="DMP21D1UT"/>
    <hyperlink ref="B998" r:id="rId_hyperlink_1993" tooltip="https://www.diodes.com/datasheet/download/DMP21D1UTQ.pdf" display="https://www.diodes.com/datasheet/download/DMP21D1UTQ.pdf"/>
    <hyperlink ref="C998" r:id="rId_hyperlink_1994" tooltip="DMP21D1UTQ" display="DMP21D1UTQ"/>
    <hyperlink ref="B999" r:id="rId_hyperlink_1995" tooltip="https://www.diodes.com/datasheet/download/DMP21D2UFA.pdf" display="https://www.diodes.com/datasheet/download/DMP21D2UFA.pdf"/>
    <hyperlink ref="C999" r:id="rId_hyperlink_1996" tooltip="DMP21D2UFA" display="DMP21D2UFA"/>
    <hyperlink ref="B1000" r:id="rId_hyperlink_1997" tooltip="https://www.diodes.com/datasheet/download/DMP21D5UFB4.pdf" display="https://www.diodes.com/datasheet/download/DMP21D5UFB4.pdf"/>
    <hyperlink ref="C1000" r:id="rId_hyperlink_1998" tooltip="DMP21D5UFB4" display="DMP21D5UFB4"/>
    <hyperlink ref="B1001" r:id="rId_hyperlink_1999" tooltip="https://www.diodes.com/datasheet/download/DMP21D6UFB4.pdf" display="https://www.diodes.com/datasheet/download/DMP21D6UFB4.pdf"/>
    <hyperlink ref="C1001" r:id="rId_hyperlink_2000" tooltip="DMP21D6UFB4" display="DMP21D6UFB4"/>
    <hyperlink ref="B1002" r:id="rId_hyperlink_2001" tooltip="https://www.diodes.com/datasheet/download/DMP21D6UFD.pdf" display="https://www.diodes.com/datasheet/download/DMP21D6UFD.pdf"/>
    <hyperlink ref="C1002" r:id="rId_hyperlink_2002" tooltip="DMP21D6UFD" display="DMP21D6UFD"/>
    <hyperlink ref="B1003" r:id="rId_hyperlink_2003" tooltip="https://www.diodes.com/datasheet/download/DMP2200UDW.pdf" display="https://www.diodes.com/datasheet/download/DMP2200UDW.pdf"/>
    <hyperlink ref="C1003" r:id="rId_hyperlink_2004" tooltip="DMP2200UDW" display="DMP2200UDW"/>
    <hyperlink ref="B1004" r:id="rId_hyperlink_2005" tooltip="https://www.diodes.com/datasheet/download/DMP2200UFCL.pdf" display="https://www.diodes.com/datasheet/download/DMP2200UFCL.pdf"/>
    <hyperlink ref="C1004" r:id="rId_hyperlink_2006" tooltip="DMP2200UFCL" display="DMP2200UFCL"/>
    <hyperlink ref="B1005" r:id="rId_hyperlink_2007" tooltip="https://www.diodes.com/datasheet/download/DMP2240UDM.pdf" display="https://www.diodes.com/datasheet/download/DMP2240UDM.pdf"/>
    <hyperlink ref="C1005" r:id="rId_hyperlink_2008" tooltip="DMP2240UDM" display="DMP2240UDM"/>
    <hyperlink ref="B1006" r:id="rId_hyperlink_2009" tooltip="https://www.diodes.com/datasheet/download/DMP2240UW.pdf" display="https://www.diodes.com/datasheet/download/DMP2240UW.pdf"/>
    <hyperlink ref="C1006" r:id="rId_hyperlink_2010" tooltip="DMP2240UW" display="DMP2240UW"/>
    <hyperlink ref="B1007" r:id="rId_hyperlink_2011" tooltip="https://www.diodes.com/datasheet/download/DMP2240UWQ.pdf" display="https://www.diodes.com/datasheet/download/DMP2240UWQ.pdf"/>
    <hyperlink ref="C1007" r:id="rId_hyperlink_2012" tooltip="DMP2240UWQ" display="DMP2240UWQ"/>
    <hyperlink ref="B1008" r:id="rId_hyperlink_2013" tooltip="https://www.diodes.com/datasheet/download/DMP22D3UFZ.pdf" display="https://www.diodes.com/datasheet/download/DMP22D3UFZ.pdf"/>
    <hyperlink ref="C1008" r:id="rId_hyperlink_2014" tooltip="DMP22D3UFZ" display="DMP22D3UFZ"/>
    <hyperlink ref="B1009" r:id="rId_hyperlink_2015" tooltip="https://www.diodes.com/datasheet/download/DMP22D4UDA.pdf" display="https://www.diodes.com/datasheet/download/DMP22D4UDA.pdf"/>
    <hyperlink ref="C1009" r:id="rId_hyperlink_2016" tooltip="DMP22D4UDA" display="DMP22D4UDA"/>
    <hyperlink ref="B1010" r:id="rId_hyperlink_2017" tooltip="https://www.diodes.com/datasheet/download/DMP22D4UFA.pdf" display="https://www.diodes.com/datasheet/download/DMP22D4UFA.pdf"/>
    <hyperlink ref="C1010" r:id="rId_hyperlink_2018" tooltip="DMP22D4UFA" display="DMP22D4UFA"/>
    <hyperlink ref="B1011" r:id="rId_hyperlink_2019" tooltip="https://www.diodes.com/datasheet/download/DMP22D4UFO.pdf" display="https://www.diodes.com/datasheet/download/DMP22D4UFO.pdf"/>
    <hyperlink ref="C1011" r:id="rId_hyperlink_2020" tooltip="DMP22D4UFO" display="DMP22D4UFO"/>
    <hyperlink ref="B1012" r:id="rId_hyperlink_2021" tooltip="https://www.diodes.com/datasheet/download/DMP22D5UDA.pdf" display="https://www.diodes.com/datasheet/download/DMP22D5UDA.pdf"/>
    <hyperlink ref="C1012" r:id="rId_hyperlink_2022" tooltip="DMP22D5UDA" display="DMP22D5UDA"/>
    <hyperlink ref="B1013" r:id="rId_hyperlink_2023" tooltip="https://www.diodes.com/datasheet/download/DMP22D5UDJ.pdf" display="https://www.diodes.com/datasheet/download/DMP22D5UDJ.pdf"/>
    <hyperlink ref="C1013" r:id="rId_hyperlink_2024" tooltip="DMP22D5UDJ" display="DMP22D5UDJ"/>
    <hyperlink ref="B1014" r:id="rId_hyperlink_2025" tooltip="https://www.diodes.com/datasheet/download/DMP22D5UDR4.pdf" display="https://www.diodes.com/datasheet/download/DMP22D5UDR4.pdf"/>
    <hyperlink ref="C1014" r:id="rId_hyperlink_2026" tooltip="DMP22D5UDR4" display="DMP22D5UDR4"/>
    <hyperlink ref="B1015" r:id="rId_hyperlink_2027" tooltip="https://www.diodes.com/datasheet/download/DMP22D5UFA.pdf" display="https://www.diodes.com/datasheet/download/DMP22D5UFA.pdf"/>
    <hyperlink ref="C1015" r:id="rId_hyperlink_2028" tooltip="DMP22D5UFA" display="DMP22D5UFA"/>
    <hyperlink ref="B1016" r:id="rId_hyperlink_2029" tooltip="https://www.diodes.com/datasheet/download/DMP22D5UFB4.pdf" display="https://www.diodes.com/datasheet/download/DMP22D5UFB4.pdf"/>
    <hyperlink ref="C1016" r:id="rId_hyperlink_2030" tooltip="DMP22D5UFB4" display="DMP22D5UFB4"/>
    <hyperlink ref="B1017" r:id="rId_hyperlink_2031" tooltip="https://www.diodes.com/datasheet/download/DMP22D5UFB4Q.pdf" display="https://www.diodes.com/datasheet/download/DMP22D5UFB4Q.pdf"/>
    <hyperlink ref="C1017" r:id="rId_hyperlink_2032" tooltip="DMP22D5UFB4Q" display="DMP22D5UFB4Q"/>
    <hyperlink ref="B1018" r:id="rId_hyperlink_2033" tooltip="https://www.diodes.com/datasheet/download/DMP22D5UFO.pdf" display="https://www.diodes.com/datasheet/download/DMP22D5UFO.pdf"/>
    <hyperlink ref="C1018" r:id="rId_hyperlink_2034" tooltip="DMP22D5UFO" display="DMP22D5UFO"/>
    <hyperlink ref="B1019" r:id="rId_hyperlink_2035" tooltip="https://www.diodes.com/datasheet/download/DMP22D5UFZ.pdf" display="https://www.diodes.com/datasheet/download/DMP22D5UFZ.pdf"/>
    <hyperlink ref="C1019" r:id="rId_hyperlink_2036" tooltip="DMP22D5UFZ" display="DMP22D5UFZ"/>
    <hyperlink ref="B1020" r:id="rId_hyperlink_2037" tooltip="https://www.diodes.com/datasheet/download/DMP22D6UFB4.pdf" display="https://www.diodes.com/datasheet/download/DMP22D6UFB4.pdf"/>
    <hyperlink ref="C1020" r:id="rId_hyperlink_2038" tooltip="DMP22D6UFB4" display="DMP22D6UFB4"/>
    <hyperlink ref="B1021" r:id="rId_hyperlink_2039" tooltip="https://www.diodes.com/datasheet/download/DMP22D6UFB4Q.pdf" display="https://www.diodes.com/datasheet/download/DMP22D6UFB4Q.pdf"/>
    <hyperlink ref="C1021" r:id="rId_hyperlink_2040" tooltip="DMP22D6UFB4Q" display="DMP22D6UFB4Q"/>
    <hyperlink ref="B1022" r:id="rId_hyperlink_2041" tooltip="https://www.diodes.com/datasheet/download/DMP22D6UT.pdf" display="https://www.diodes.com/datasheet/download/DMP22D6UT.pdf"/>
    <hyperlink ref="C1022" r:id="rId_hyperlink_2042" tooltip="DMP22D6UT" display="DMP22D6UT"/>
    <hyperlink ref="B1023" r:id="rId_hyperlink_2043" tooltip="https://www.diodes.com/datasheet/download/DMP22M1UPSW.pdf" display="https://www.diodes.com/datasheet/download/DMP22M1UPSW.pdf"/>
    <hyperlink ref="C1023" r:id="rId_hyperlink_2044" tooltip="DMP22M1UPSW" display="DMP22M1UPSW"/>
    <hyperlink ref="B1024" r:id="rId_hyperlink_2045" tooltip="https://www.diodes.com/datasheet/download/DMP22M2UPS.pdf" display="https://www.diodes.com/datasheet/download/DMP22M2UPS.pdf"/>
    <hyperlink ref="C1024" r:id="rId_hyperlink_2046" tooltip="DMP22M2UPS" display="DMP22M2UPS"/>
    <hyperlink ref="B1025" r:id="rId_hyperlink_2047" tooltip="https://www.diodes.com/datasheet/download/DMP2305U.pdf" display="https://www.diodes.com/datasheet/download/DMP2305U.pdf"/>
    <hyperlink ref="C1025" r:id="rId_hyperlink_2048" tooltip="DMP2305U" display="DMP2305U"/>
    <hyperlink ref="B1026" r:id="rId_hyperlink_2049" tooltip="https://www.diodes.com/datasheet/download/DMP2305UVT.pdf" display="https://www.diodes.com/datasheet/download/DMP2305UVT.pdf"/>
    <hyperlink ref="C1026" r:id="rId_hyperlink_2050" tooltip="DMP2305UVT" display="DMP2305UVT"/>
    <hyperlink ref="B1027" r:id="rId_hyperlink_2051" tooltip="https://www.diodes.com/datasheet/download/DMP2541UCP9.pdf" display="https://www.diodes.com/datasheet/download/DMP2541UCP9.pdf"/>
    <hyperlink ref="C1027" r:id="rId_hyperlink_2052" tooltip="DMP2541UCP9" display="DMP2541UCP9"/>
    <hyperlink ref="B1028" r:id="rId_hyperlink_2053" tooltip="https://www.diodes.com/datasheet/download/DMP25H18DLFDE.pdf" display="https://www.diodes.com/datasheet/download/DMP25H18DLFDE.pdf"/>
    <hyperlink ref="C1028" r:id="rId_hyperlink_2054" tooltip="DMP25H18DLFDE" display="DMP25H18DLFDE"/>
    <hyperlink ref="B1029" r:id="rId_hyperlink_2055" tooltip="https://www.diodes.com/datasheet/download/DMP26M1UFG.pdf" display="https://www.diodes.com/datasheet/download/DMP26M1UFG.pdf"/>
    <hyperlink ref="C1029" r:id="rId_hyperlink_2056" tooltip="DMP26M1UFG" display="DMP26M1UFG"/>
    <hyperlink ref="B1030" r:id="rId_hyperlink_2057" tooltip="https://www.diodes.com/datasheet/download/DMP26M1UPS.pdf" display="https://www.diodes.com/datasheet/download/DMP26M1UPS.pdf"/>
    <hyperlink ref="C1030" r:id="rId_hyperlink_2058" tooltip="DMP26M1UPS" display="DMP26M1UPS"/>
    <hyperlink ref="B1031" r:id="rId_hyperlink_2059" tooltip="https://www.diodes.com/datasheet/download/DMP26M1UPSW.pdf" display="https://www.diodes.com/datasheet/download/DMP26M1UPSW.pdf"/>
    <hyperlink ref="C1031" r:id="rId_hyperlink_2060" tooltip="DMP26M1UPSW" display="DMP26M1UPSW"/>
    <hyperlink ref="B1032" r:id="rId_hyperlink_2061" tooltip="https://www.diodes.com/datasheet/download/DMP26M1UPSWQ.pdf" display="https://www.diodes.com/datasheet/download/DMP26M1UPSWQ.pdf"/>
    <hyperlink ref="C1032" r:id="rId_hyperlink_2062" tooltip="DMP26M1UPSWQ" display="DMP26M1UPSWQ"/>
    <hyperlink ref="B1033" r:id="rId_hyperlink_2063" tooltip="https://www.diodes.com/datasheet/download/DMP26M7UFG.pdf" display="https://www.diodes.com/datasheet/download/DMP26M7UFG.pdf"/>
    <hyperlink ref="C1033" r:id="rId_hyperlink_2064" tooltip="DMP26M7UFG" display="DMP26M7UFG"/>
    <hyperlink ref="B1034" r:id="rId_hyperlink_2065" tooltip="https://www.diodes.com/datasheet/download/DMP27M1UPSW.pdf" display="https://www.diodes.com/datasheet/download/DMP27M1UPSW.pdf"/>
    <hyperlink ref="C1034" r:id="rId_hyperlink_2066" tooltip="DMP27M1UPSW" display="DMP27M1UPSW"/>
    <hyperlink ref="B1035" r:id="rId_hyperlink_2067" tooltip="https://www.diodes.com/datasheet/download/DMP27M1UPSWQ.pdf" display="https://www.diodes.com/datasheet/download/DMP27M1UPSWQ.pdf"/>
    <hyperlink ref="C1035" r:id="rId_hyperlink_2068" tooltip="DMP27M1UPSWQ" display="DMP27M1UPSWQ"/>
    <hyperlink ref="B1036" r:id="rId_hyperlink_2069" tooltip="https://www.diodes.com/datasheet/download/DMP2900UDW.pdf" display="https://www.diodes.com/datasheet/download/DMP2900UDW.pdf"/>
    <hyperlink ref="C1036" r:id="rId_hyperlink_2070" tooltip="DMP2900UDW" display="DMP2900UDW"/>
    <hyperlink ref="B1037" r:id="rId_hyperlink_2071" tooltip="https://www.diodes.com/datasheet/download/DMP2900UDWQ.pdf" display="https://www.diodes.com/datasheet/download/DMP2900UDWQ.pdf"/>
    <hyperlink ref="C1037" r:id="rId_hyperlink_2072" tooltip="DMP2900UDWQ" display="DMP2900UDWQ"/>
    <hyperlink ref="B1038" r:id="rId_hyperlink_2073" tooltip="https://www.diodes.com/datasheet/download/DMP2900UFB.pdf" display="https://www.diodes.com/datasheet/download/DMP2900UFB.pdf"/>
    <hyperlink ref="C1038" r:id="rId_hyperlink_2074" tooltip="DMP2900UFB" display="DMP2900UFB"/>
    <hyperlink ref="B1039" r:id="rId_hyperlink_2075" tooltip="https://www.diodes.com/datasheet/download/DMP2900UFBQ.pdf" display="https://www.diodes.com/datasheet/download/DMP2900UFBQ.pdf"/>
    <hyperlink ref="C1039" r:id="rId_hyperlink_2076" tooltip="DMP2900UFBQ" display="DMP2900UFBQ"/>
    <hyperlink ref="B1040" r:id="rId_hyperlink_2077" tooltip="https://www.diodes.com/datasheet/download/DMP2900UT.pdf" display="https://www.diodes.com/datasheet/download/DMP2900UT.pdf"/>
    <hyperlink ref="C1040" r:id="rId_hyperlink_2078" tooltip="DMP2900UT" display="DMP2900UT"/>
    <hyperlink ref="B1041" r:id="rId_hyperlink_2079" tooltip="https://www.diodes.com/datasheet/download/DMP2900UTQ.pdf" display="https://www.diodes.com/datasheet/download/DMP2900UTQ.pdf"/>
    <hyperlink ref="C1041" r:id="rId_hyperlink_2080" tooltip="DMP2900UTQ" display="DMP2900UTQ"/>
    <hyperlink ref="B1042" r:id="rId_hyperlink_2081" tooltip="https://www.diodes.com/datasheet/download/DMP2900UV.pdf" display="https://www.diodes.com/datasheet/download/DMP2900UV.pdf"/>
    <hyperlink ref="C1042" r:id="rId_hyperlink_2082" tooltip="DMP2900UV" display="DMP2900UV"/>
    <hyperlink ref="B1043" r:id="rId_hyperlink_2083" tooltip="https://www.diodes.com/datasheet/download/DMP2900UVQ.pdf" display="https://www.diodes.com/datasheet/download/DMP2900UVQ.pdf"/>
    <hyperlink ref="C1043" r:id="rId_hyperlink_2084" tooltip="DMP2900UVQ" display="DMP2900UVQ"/>
    <hyperlink ref="B1044" r:id="rId_hyperlink_2085" tooltip="https://www.diodes.com/datasheet/download/DMP2900UW.pdf" display="https://www.diodes.com/datasheet/download/DMP2900UW.pdf"/>
    <hyperlink ref="C1044" r:id="rId_hyperlink_2086" tooltip="DMP2900UW" display="DMP2900UW"/>
    <hyperlink ref="B1045" r:id="rId_hyperlink_2087" tooltip="https://www.diodes.com/datasheet/download/DMP2900UWQ.pdf" display="https://www.diodes.com/datasheet/download/DMP2900UWQ.pdf"/>
    <hyperlink ref="C1045" r:id="rId_hyperlink_2088" tooltip="DMP2900UWQ" display="DMP2900UWQ"/>
    <hyperlink ref="B1046" r:id="rId_hyperlink_2089" tooltip="https://www.diodes.com/datasheet/download/DMP3004SSS.pdf" display="https://www.diodes.com/datasheet/download/DMP3004SSS.pdf"/>
    <hyperlink ref="C1046" r:id="rId_hyperlink_2090" tooltip="DMP3004SSS" display="DMP3004SSS"/>
    <hyperlink ref="B1047" r:id="rId_hyperlink_2091" tooltip="https://www.diodes.com/datasheet/download/DMP3006LPSW.pdf" display="https://www.diodes.com/datasheet/download/DMP3006LPSW.pdf"/>
    <hyperlink ref="C1047" r:id="rId_hyperlink_2092" tooltip="DMP3006LPSW" display="DMP3006LPSW"/>
    <hyperlink ref="B1048" r:id="rId_hyperlink_2093" tooltip="https://www.diodes.com/datasheet/download/DMP3006LPSWQ.pdf" display="https://www.diodes.com/datasheet/download/DMP3006LPSWQ.pdf"/>
    <hyperlink ref="C1048" r:id="rId_hyperlink_2094" tooltip="DMP3006LPSWQ" display="DMP3006LPSWQ"/>
    <hyperlink ref="B1049" r:id="rId_hyperlink_2095" tooltip="https://www.diodes.com/datasheet/download/DMP3007LK3.pdf" display="https://www.diodes.com/datasheet/download/DMP3007LK3.pdf"/>
    <hyperlink ref="C1049" r:id="rId_hyperlink_2096" tooltip="DMP3007LK3" display="DMP3007LK3"/>
    <hyperlink ref="B1050" r:id="rId_hyperlink_2097" tooltip="https://www.diodes.com/datasheet/download/DMP3007LK3Q.pdf" display="https://www.diodes.com/datasheet/download/DMP3007LK3Q.pdf"/>
    <hyperlink ref="C1050" r:id="rId_hyperlink_2098" tooltip="DMP3007LK3Q" display="DMP3007LK3Q"/>
    <hyperlink ref="B1051" r:id="rId_hyperlink_2099" tooltip="https://www.diodes.com/datasheet/download/DMP3007LSS.pdf" display="https://www.diodes.com/datasheet/download/DMP3007LSS.pdf"/>
    <hyperlink ref="C1051" r:id="rId_hyperlink_2100" tooltip="DMP3007LSS" display="DMP3007LSS"/>
    <hyperlink ref="B1052" r:id="rId_hyperlink_2101" tooltip="https://www.diodes.com/datasheet/download/DMP3007SCG.pdf" display="https://www.diodes.com/datasheet/download/DMP3007SCG.pdf"/>
    <hyperlink ref="C1052" r:id="rId_hyperlink_2102" tooltip="DMP3007SCG" display="DMP3007SCG"/>
    <hyperlink ref="B1053" r:id="rId_hyperlink_2103" tooltip="https://www.diodes.com/datasheet/download/DMP3007SCGQ.pdf" display="https://www.diodes.com/datasheet/download/DMP3007SCGQ.pdf"/>
    <hyperlink ref="C1053" r:id="rId_hyperlink_2104" tooltip="DMP3007SCGQ" display="DMP3007SCGQ"/>
    <hyperlink ref="B1054" r:id="rId_hyperlink_2105" tooltip="https://www.diodes.com/datasheet/download/DMP3007SFG.pdf" display="https://www.diodes.com/datasheet/download/DMP3007SFG.pdf"/>
    <hyperlink ref="C1054" r:id="rId_hyperlink_2106" tooltip="DMP3007SFG" display="DMP3007SFG"/>
    <hyperlink ref="B1055" r:id="rId_hyperlink_2107" tooltip="https://www.diodes.com/datasheet/download/DMP3007SPS.pdf" display="https://www.diodes.com/datasheet/download/DMP3007SPS.pdf"/>
    <hyperlink ref="C1055" r:id="rId_hyperlink_2108" tooltip="DMP3007SPS" display="DMP3007SPS"/>
    <hyperlink ref="B1056" r:id="rId_hyperlink_2109" tooltip="https://www.diodes.com/datasheet/download/DMP3007SPSQ.pdf" display="https://www.diodes.com/datasheet/download/DMP3007SPSQ.pdf"/>
    <hyperlink ref="C1056" r:id="rId_hyperlink_2110" tooltip="DMP3007SPSQ" display="DMP3007SPSQ"/>
    <hyperlink ref="B1057" r:id="rId_hyperlink_2111" tooltip="https://www.diodes.com/datasheet/download/DMP3008SFGQ.pdf" display="https://www.diodes.com/datasheet/download/DMP3008SFGQ.pdf"/>
    <hyperlink ref="C1057" r:id="rId_hyperlink_2112" tooltip="DMP3008SFGQ" display="DMP3008SFGQ"/>
    <hyperlink ref="B1058" r:id="rId_hyperlink_2113" tooltip="https://www.diodes.com/datasheet/download/DMP3011SFK.pdf" display="https://www.diodes.com/datasheet/download/DMP3011SFK.pdf"/>
    <hyperlink ref="C1058" r:id="rId_hyperlink_2114" tooltip="DMP3011SFK" display="DMP3011SFK"/>
    <hyperlink ref="B1059" r:id="rId_hyperlink_2115" tooltip="https://www.diodes.com/datasheet/download/DMP3011SFVW.pdf" display="https://www.diodes.com/datasheet/download/DMP3011SFVW.pdf"/>
    <hyperlink ref="C1059" r:id="rId_hyperlink_2116" tooltip="DMP3011SFVW" display="DMP3011SFVW"/>
    <hyperlink ref="B1060" r:id="rId_hyperlink_2117" tooltip="https://www.diodes.com/datasheet/download/DMP3011SFVWQ.pdf" display="https://www.diodes.com/datasheet/download/DMP3011SFVWQ.pdf"/>
    <hyperlink ref="C1060" r:id="rId_hyperlink_2118" tooltip="DMP3011SFVWQ" display="DMP3011SFVWQ"/>
    <hyperlink ref="B1061" r:id="rId_hyperlink_2119" tooltip="https://www.diodes.com/datasheet/download/DMP3011SPDW.pdf" display="https://www.diodes.com/datasheet/download/DMP3011SPDW.pdf"/>
    <hyperlink ref="C1061" r:id="rId_hyperlink_2120" tooltip="DMP3011SPDW" display="DMP3011SPDW"/>
    <hyperlink ref="B1062" r:id="rId_hyperlink_2121" tooltip="https://www.diodes.com/datasheet/download/DMP3011SPSW.pdf" display="https://www.diodes.com/datasheet/download/DMP3011SPSW.pdf"/>
    <hyperlink ref="C1062" r:id="rId_hyperlink_2122" tooltip="DMP3011SPSW" display="DMP3011SPSW"/>
    <hyperlink ref="B1063" r:id="rId_hyperlink_2123" tooltip="https://www.diodes.com/datasheet/download/DMP3011SSS.pdf" display="https://www.diodes.com/datasheet/download/DMP3011SSS.pdf"/>
    <hyperlink ref="C1063" r:id="rId_hyperlink_2124" tooltip="DMP3011SSS" display="DMP3011SSS"/>
    <hyperlink ref="B1064" r:id="rId_hyperlink_2125" tooltip="https://www.diodes.com/datasheet/download/DMP3012LPS.pdf" display="https://www.diodes.com/datasheet/download/DMP3012LPS.pdf"/>
    <hyperlink ref="C1064" r:id="rId_hyperlink_2126" tooltip="DMP3012LPS" display="DMP3012LPS"/>
    <hyperlink ref="B1065" r:id="rId_hyperlink_2127" tooltip="https://www.diodes.com/datasheet/download/DMP3012SPSW.pdf" display="https://www.diodes.com/datasheet/download/DMP3012SPSW.pdf"/>
    <hyperlink ref="C1065" r:id="rId_hyperlink_2128" tooltip="DMP3012SPSW" display="DMP3012SPSW"/>
    <hyperlink ref="B1066" r:id="rId_hyperlink_2129" tooltip="https://www.diodes.com/datasheet/download/DMP3013SFK.pdf" display="https://www.diodes.com/datasheet/download/DMP3013SFK.pdf"/>
    <hyperlink ref="C1066" r:id="rId_hyperlink_2130" tooltip="DMP3013SFK" display="DMP3013SFK"/>
    <hyperlink ref="B1067" r:id="rId_hyperlink_2131" tooltip="https://www.diodes.com/datasheet/download/DMP3013SFV.pdf" display="https://www.diodes.com/datasheet/download/DMP3013SFV.pdf"/>
    <hyperlink ref="C1067" r:id="rId_hyperlink_2132" tooltip="DMP3013SFV" display="DMP3013SFV"/>
    <hyperlink ref="B1068" r:id="rId_hyperlink_2133" tooltip="https://www.diodes.com/datasheet/download/DMP3014SFDE.pdf" display="https://www.diodes.com/datasheet/download/DMP3014SFDE.pdf"/>
    <hyperlink ref="C1068" r:id="rId_hyperlink_2134" tooltip="DMP3014SFDE" display="DMP3014SFDE"/>
    <hyperlink ref="B1069" r:id="rId_hyperlink_2135" tooltip="https://www.diodes.com/datasheet/download/DMP3017SFK.pdf" display="https://www.diodes.com/datasheet/download/DMP3017SFK.pdf"/>
    <hyperlink ref="C1069" r:id="rId_hyperlink_2136" tooltip="DMP3017SFK" display="DMP3017SFK"/>
    <hyperlink ref="B1070" r:id="rId_hyperlink_2137" tooltip="https://www.diodes.com/datasheet/download/DMP3018SFK.pdf" display="https://www.diodes.com/datasheet/download/DMP3018SFK.pdf"/>
    <hyperlink ref="C1070" r:id="rId_hyperlink_2138" tooltip="DMP3018SFK" display="DMP3018SFK"/>
    <hyperlink ref="B1071" r:id="rId_hyperlink_2139" tooltip="https://www.diodes.com/datasheet/download/DMP3018SFV.pdf" display="https://www.diodes.com/datasheet/download/DMP3018SFV.pdf"/>
    <hyperlink ref="C1071" r:id="rId_hyperlink_2140" tooltip="DMP3018SFV" display="DMP3018SFV"/>
    <hyperlink ref="B1072" r:id="rId_hyperlink_2141" tooltip="https://www.diodes.com/datasheet/download/DMP3018SSS.pdf" display="https://www.diodes.com/datasheet/download/DMP3018SSS.pdf"/>
    <hyperlink ref="C1072" r:id="rId_hyperlink_2142" tooltip="DMP3018SSS" display="DMP3018SSS"/>
    <hyperlink ref="B1073" r:id="rId_hyperlink_2143" tooltip="https://www.diodes.com/datasheet/download/DMP3020LSS.pdf" display="https://www.diodes.com/datasheet/download/DMP3020LSS.pdf"/>
    <hyperlink ref="C1073" r:id="rId_hyperlink_2144" tooltip="DMP3020LSS" display="DMP3020LSS"/>
    <hyperlink ref="B1074" r:id="rId_hyperlink_2145" tooltip="https://www.diodes.com/datasheet/download/DMP3021SFVW.pdf" display="https://www.diodes.com/datasheet/download/DMP3021SFVW.pdf"/>
    <hyperlink ref="C1074" r:id="rId_hyperlink_2146" tooltip="DMP3021SFVW" display="DMP3021SFVW"/>
    <hyperlink ref="B1075" r:id="rId_hyperlink_2147" tooltip="https://www.diodes.com/datasheet/download/DMP3021SFVWQ.pdf" display="https://www.diodes.com/datasheet/download/DMP3021SFVWQ.pdf"/>
    <hyperlink ref="C1075" r:id="rId_hyperlink_2148" tooltip="DMP3021SFVWQ" display="DMP3021SFVWQ"/>
    <hyperlink ref="B1076" r:id="rId_hyperlink_2149" tooltip="https://www.diodes.com/datasheet/download/DMP3021SPDW.pdf" display="https://www.diodes.com/datasheet/download/DMP3021SPDW.pdf"/>
    <hyperlink ref="C1076" r:id="rId_hyperlink_2150" tooltip="DMP3021SPDW" display="DMP3021SPDW"/>
    <hyperlink ref="B1077" r:id="rId_hyperlink_2151" tooltip="https://www.diodes.com/datasheet/download/DMP3021SPSW.pdf" display="https://www.diodes.com/datasheet/download/DMP3021SPSW.pdf"/>
    <hyperlink ref="C1077" r:id="rId_hyperlink_2152" tooltip="DMP3021SPSW" display="DMP3021SPSW"/>
    <hyperlink ref="B1078" r:id="rId_hyperlink_2153" tooltip="https://www.diodes.com/datasheet/download/DMP3021SSS.pdf" display="https://www.diodes.com/datasheet/download/DMP3021SSS.pdf"/>
    <hyperlink ref="C1078" r:id="rId_hyperlink_2154" tooltip="DMP3021SSS" display="DMP3021SSS"/>
    <hyperlink ref="B1079" r:id="rId_hyperlink_2155" tooltip="https://www.diodes.com/datasheet/download/DMP3025SFDF.pdf" display="https://www.diodes.com/datasheet/download/DMP3025SFDF.pdf"/>
    <hyperlink ref="C1079" r:id="rId_hyperlink_2156" tooltip="DMP3025SFDF" display="DMP3025SFDF"/>
    <hyperlink ref="B1080" r:id="rId_hyperlink_2157" tooltip="https://www.diodes.com/datasheet/download/DMP3026SFDE.pdf" display="https://www.diodes.com/datasheet/download/DMP3026SFDE.pdf"/>
    <hyperlink ref="C1080" r:id="rId_hyperlink_2158" tooltip="DMP3026SFDE" display="DMP3026SFDE"/>
    <hyperlink ref="B1081" r:id="rId_hyperlink_2159" tooltip="https://www.diodes.com/datasheet/download/DMP3026SFDF.pdf" display="https://www.diodes.com/datasheet/download/DMP3026SFDF.pdf"/>
    <hyperlink ref="C1081" r:id="rId_hyperlink_2160" tooltip="DMP3026SFDF" display="DMP3026SFDF"/>
    <hyperlink ref="B1082" r:id="rId_hyperlink_2161" tooltip="https://www.diodes.com/datasheet/download/DMP3027LFDE.pdf" display="https://www.diodes.com/datasheet/download/DMP3027LFDE.pdf"/>
    <hyperlink ref="C1082" r:id="rId_hyperlink_2162" tooltip="DMP3027LFDE" display="DMP3027LFDE"/>
    <hyperlink ref="B1083" r:id="rId_hyperlink_2163" tooltip="https://www.diodes.com/datasheet/download/DMP3027LFDEQ.pdf" display="https://www.diodes.com/datasheet/download/DMP3027LFDEQ.pdf"/>
    <hyperlink ref="C1083" r:id="rId_hyperlink_2164" tooltip="DMP3027LFDEQ" display="DMP3027LFDEQ"/>
    <hyperlink ref="B1084" r:id="rId_hyperlink_2165" tooltip="https://www.diodes.com/datasheet/download/DMP3028LFDE.pdf" display="https://www.diodes.com/datasheet/download/DMP3028LFDE.pdf"/>
    <hyperlink ref="C1084" r:id="rId_hyperlink_2166" tooltip="DMP3028LFDE" display="DMP3028LFDE"/>
    <hyperlink ref="B1085" r:id="rId_hyperlink_2167" tooltip="https://www.diodes.com/datasheet/download/DMP3028LFDEQ.pdf" display="https://www.diodes.com/datasheet/download/DMP3028LFDEQ.pdf"/>
    <hyperlink ref="C1085" r:id="rId_hyperlink_2168" tooltip="DMP3028LFDEQ" display="DMP3028LFDEQ"/>
    <hyperlink ref="B1086" r:id="rId_hyperlink_2169" tooltip="https://www.diodes.com/datasheet/download/DMP3028LK3.pdf" display="https://www.diodes.com/datasheet/download/DMP3028LK3.pdf"/>
    <hyperlink ref="C1086" r:id="rId_hyperlink_2170" tooltip="DMP3028LK3" display="DMP3028LK3"/>
    <hyperlink ref="B1087" r:id="rId_hyperlink_2171" tooltip="https://www.diodes.com/datasheet/download/DMP3028LK3Q.pdf" display="https://www.diodes.com/datasheet/download/DMP3028LK3Q.pdf"/>
    <hyperlink ref="C1087" r:id="rId_hyperlink_2172" tooltip="DMP3028LK3Q" display="DMP3028LK3Q"/>
    <hyperlink ref="B1088" r:id="rId_hyperlink_2173" tooltip="https://www.diodes.com/datasheet/download/DMP3028LPSQ.pdf" display="https://www.diodes.com/datasheet/download/DMP3028LPSQ.pdf"/>
    <hyperlink ref="C1088" r:id="rId_hyperlink_2174" tooltip="DMP3028LPSQ" display="DMP3028LPSQ"/>
    <hyperlink ref="B1089" r:id="rId_hyperlink_2175" tooltip="https://www.diodes.com/datasheet/download/DMP3028LPSW.pdf" display="https://www.diodes.com/datasheet/download/DMP3028LPSW.pdf"/>
    <hyperlink ref="C1089" r:id="rId_hyperlink_2176" tooltip="DMP3028LPSW" display="DMP3028LPSW"/>
    <hyperlink ref="B1090" r:id="rId_hyperlink_2177" tooltip="https://www.diodes.com/datasheet/download/DMP3028LSD.pdf" display="https://www.diodes.com/datasheet/download/DMP3028LSD.pdf"/>
    <hyperlink ref="C1090" r:id="rId_hyperlink_2178" tooltip="DMP3028LSD" display="DMP3028LSD"/>
    <hyperlink ref="B1091" r:id="rId_hyperlink_2179" tooltip="https://www.diodes.com/datasheet/download/DMP3028LSDQ.pdf" display="https://www.diodes.com/datasheet/download/DMP3028LSDQ.pdf"/>
    <hyperlink ref="C1091" r:id="rId_hyperlink_2180" tooltip="DMP3028LSDQ" display="DMP3028LSDQ"/>
    <hyperlink ref="B1092" r:id="rId_hyperlink_2181" tooltip="https://www.diodes.com/datasheet/download/DMP3030SN.pdf" display="https://www.diodes.com/datasheet/download/DMP3030SN.pdf"/>
    <hyperlink ref="C1092" r:id="rId_hyperlink_2182" tooltip="DMP3030SN" display="DMP3030SN"/>
    <hyperlink ref="B1093" r:id="rId_hyperlink_2183" tooltip="https://www.diodes.com/datasheet/download/DMP3035LSS.pdf" display="https://www.diodes.com/datasheet/download/DMP3035LSS.pdf"/>
    <hyperlink ref="C1093" r:id="rId_hyperlink_2184" tooltip="DMP3035LSS" display="DMP3035LSS"/>
    <hyperlink ref="B1094" r:id="rId_hyperlink_2185" tooltip="https://www.diodes.com/datasheet/download/DMP3036SFG.pdf" display="https://www.diodes.com/datasheet/download/DMP3036SFG.pdf"/>
    <hyperlink ref="C1094" r:id="rId_hyperlink_2186" tooltip="DMP3036SFG" display="DMP3036SFG"/>
    <hyperlink ref="B1095" r:id="rId_hyperlink_2187" tooltip="https://www.diodes.com/datasheet/download/DMP3036SFV.pdf" display="https://www.diodes.com/datasheet/download/DMP3036SFV.pdf"/>
    <hyperlink ref="C1095" r:id="rId_hyperlink_2188" tooltip="DMP3036SFV" display="DMP3036SFV"/>
    <hyperlink ref="B1096" r:id="rId_hyperlink_2189" tooltip="https://www.diodes.com/datasheet/download/DMP3036SFVQ.pdf" display="https://www.diodes.com/datasheet/download/DMP3036SFVQ.pdf"/>
    <hyperlink ref="C1096" r:id="rId_hyperlink_2190" tooltip="DMP3036SFVQ" display="DMP3036SFVQ"/>
    <hyperlink ref="B1097" r:id="rId_hyperlink_2191" tooltip="https://www.diodes.com/datasheet/download/DMP3036SSD.pdf" display="https://www.diodes.com/datasheet/download/DMP3036SSD.pdf"/>
    <hyperlink ref="C1097" r:id="rId_hyperlink_2192" tooltip="DMP3036SSD" display="DMP3036SSD"/>
    <hyperlink ref="B1098" r:id="rId_hyperlink_2193" tooltip="https://www.diodes.com/datasheet/download/DMP3036SSS.pdf" display="https://www.diodes.com/datasheet/download/DMP3036SSS.pdf"/>
    <hyperlink ref="C1098" r:id="rId_hyperlink_2194" tooltip="DMP3036SSS" display="DMP3036SSS"/>
    <hyperlink ref="B1099" r:id="rId_hyperlink_2195" tooltip="https://www.diodes.com/datasheet/download/DMP3037LSS.pdf" display="https://www.diodes.com/datasheet/download/DMP3037LSS.pdf"/>
    <hyperlink ref="C1099" r:id="rId_hyperlink_2196" tooltip="DMP3037LSS" display="DMP3037LSS"/>
    <hyperlink ref="B1100" r:id="rId_hyperlink_2197" tooltip="https://www.diodes.com/datasheet/download/DMP3037LSSQ.pdf" display="https://www.diodes.com/datasheet/download/DMP3037LSSQ.pdf"/>
    <hyperlink ref="C1100" r:id="rId_hyperlink_2198" tooltip="DMP3037LSSQ" display="DMP3037LSSQ"/>
    <hyperlink ref="B1101" r:id="rId_hyperlink_2199" tooltip="https://www.diodes.com/datasheet/download/DMP3045LFVW.pdf" display="https://www.diodes.com/datasheet/download/DMP3045LFVW.pdf"/>
    <hyperlink ref="C1101" r:id="rId_hyperlink_2200" tooltip="DMP3045LFVW" display="DMP3045LFVW"/>
    <hyperlink ref="B1102" r:id="rId_hyperlink_2201" tooltip="https://www.diodes.com/datasheet/download/DMP3045LFVWQ.pdf" display="https://www.diodes.com/datasheet/download/DMP3045LFVWQ.pdf"/>
    <hyperlink ref="C1102" r:id="rId_hyperlink_2202" tooltip="DMP3045LFVWQ" display="DMP3045LFVWQ"/>
    <hyperlink ref="B1103" r:id="rId_hyperlink_2203" tooltip="https://www.diodes.com/datasheet/download/DMP3045LVT.pdf" display="https://www.diodes.com/datasheet/download/DMP3045LVT.pdf"/>
    <hyperlink ref="C1103" r:id="rId_hyperlink_2204" tooltip="DMP3045LVT" display="DMP3045LVT"/>
    <hyperlink ref="B1104" r:id="rId_hyperlink_2205" tooltip="https://www.diodes.com/datasheet/download/DMP3045LVTQ.pdf" display="https://www.diodes.com/datasheet/download/DMP3045LVTQ.pdf"/>
    <hyperlink ref="C1104" r:id="rId_hyperlink_2206" tooltip="DMP3045LVTQ" display="DMP3045LVTQ"/>
    <hyperlink ref="B1105" r:id="rId_hyperlink_2207" tooltip="https://www.diodes.com/datasheet/download/DMP3048LSD.pdf" display="https://www.diodes.com/datasheet/download/DMP3048LSD.pdf"/>
    <hyperlink ref="C1105" r:id="rId_hyperlink_2208" tooltip="DMP3048LSD" display="DMP3048LSD"/>
    <hyperlink ref="B1106" r:id="rId_hyperlink_2209" tooltip="https://www.diodes.com/datasheet/download/DMP3050LSS.pdf" display="https://www.diodes.com/datasheet/download/DMP3050LSS.pdf"/>
    <hyperlink ref="C1106" r:id="rId_hyperlink_2210" tooltip="DMP3050LSS" display="DMP3050LSS"/>
    <hyperlink ref="B1107" r:id="rId_hyperlink_2211" tooltip="https://www.diodes.com/datasheet/download/DMP3050LVT.pdf" display="https://www.diodes.com/datasheet/download/DMP3050LVT.pdf"/>
    <hyperlink ref="C1107" r:id="rId_hyperlink_2212" tooltip="DMP3050LVT" display="DMP3050LVT"/>
    <hyperlink ref="B1108" r:id="rId_hyperlink_2213" tooltip="https://www.diodes.com/datasheet/download/DMP3050LVTQ.pdf" display="https://www.diodes.com/datasheet/download/DMP3050LVTQ.pdf"/>
    <hyperlink ref="C1108" r:id="rId_hyperlink_2214" tooltip="DMP3050LVTQ" display="DMP3050LVTQ"/>
    <hyperlink ref="B1109" r:id="rId_hyperlink_2215" tooltip="https://www.diodes.com/datasheet/download/DMP3056L.pdf" display="https://www.diodes.com/datasheet/download/DMP3056L.pdf"/>
    <hyperlink ref="C1109" r:id="rId_hyperlink_2216" tooltip="DMP3056L" display="DMP3056L"/>
    <hyperlink ref="B1110" r:id="rId_hyperlink_2217" tooltip="https://www.diodes.com/datasheet/download/DMP3056LDM.pdf" display="https://www.diodes.com/datasheet/download/DMP3056LDM.pdf"/>
    <hyperlink ref="C1110" r:id="rId_hyperlink_2218" tooltip="DMP3056LDM" display="DMP3056LDM"/>
    <hyperlink ref="B1111" r:id="rId_hyperlink_2219" tooltip="https://www.diodes.com/datasheet/download/DMP3056LSD.pdf" display="https://www.diodes.com/datasheet/download/DMP3056LSD.pdf"/>
    <hyperlink ref="C1111" r:id="rId_hyperlink_2220" tooltip="DMP3056LSD" display="DMP3056LSD"/>
    <hyperlink ref="B1112" r:id="rId_hyperlink_2221" tooltip="https://www.diodes.com/datasheet/download/DMP3056LSDQ.pdf" display="https://www.diodes.com/datasheet/download/DMP3056LSDQ.pdf"/>
    <hyperlink ref="C1112" r:id="rId_hyperlink_2222" tooltip="DMP3056LSDQ" display="DMP3056LSDQ"/>
    <hyperlink ref="B1113" r:id="rId_hyperlink_2223" tooltip="https://www.diodes.com/datasheet/download/DMP3056LSS.pdf" display="https://www.diodes.com/datasheet/download/DMP3056LSS.pdf"/>
    <hyperlink ref="C1113" r:id="rId_hyperlink_2224" tooltip="DMP3056LSS" display="DMP3056LSS"/>
    <hyperlink ref="B1114" r:id="rId_hyperlink_2225" tooltip="https://www.diodes.com/datasheet/download/DMP3056LSSQ.pdf" display="https://www.diodes.com/datasheet/download/DMP3056LSSQ.pdf"/>
    <hyperlink ref="C1114" r:id="rId_hyperlink_2226" tooltip="DMP3056LSSQ" display="DMP3056LSSQ"/>
    <hyperlink ref="B1115" r:id="rId_hyperlink_2227" tooltip="https://www.diodes.com/datasheet/download/DMP3065LVT.pdf" display="https://www.diodes.com/datasheet/download/DMP3065LVT.pdf"/>
    <hyperlink ref="C1115" r:id="rId_hyperlink_2228" tooltip="DMP3065LVT" display="DMP3065LVT"/>
    <hyperlink ref="B1116" r:id="rId_hyperlink_2229" tooltip="https://www.diodes.com/datasheet/download/DMP3068L.pdf" display="https://www.diodes.com/datasheet/download/DMP3068L.pdf"/>
    <hyperlink ref="C1116" r:id="rId_hyperlink_2230" tooltip="DMP3068L" display="DMP3068L"/>
    <hyperlink ref="B1117" r:id="rId_hyperlink_2231" tooltip="https://www.diodes.com/datasheet/download/DMP3068LVT.pdf" display="https://www.diodes.com/datasheet/download/DMP3068LVT.pdf"/>
    <hyperlink ref="C1117" r:id="rId_hyperlink_2232" tooltip="DMP3068LVT" display="DMP3068LVT"/>
    <hyperlink ref="B1118" r:id="rId_hyperlink_2233" tooltip="https://www.diodes.com/datasheet/download/DMP3085LSD.pdf" display="https://www.diodes.com/datasheet/download/DMP3085LSD.pdf"/>
    <hyperlink ref="C1118" r:id="rId_hyperlink_2234" tooltip="DMP3085LSD" display="DMP3085LSD"/>
    <hyperlink ref="B1119" r:id="rId_hyperlink_2235" tooltip="https://www.diodes.com/datasheet/download/DMP3085LSS.pdf" display="https://www.diodes.com/datasheet/download/DMP3085LSS.pdf"/>
    <hyperlink ref="C1119" r:id="rId_hyperlink_2236" tooltip="DMP3085LSS" display="DMP3085LSS"/>
    <hyperlink ref="B1120" r:id="rId_hyperlink_2237" tooltip="https://www.diodes.com/datasheet/download/DMP3096L.pdf" display="https://www.diodes.com/datasheet/download/DMP3096L.pdf"/>
    <hyperlink ref="C1120" r:id="rId_hyperlink_2238" tooltip="DMP3096L" display="DMP3096L"/>
    <hyperlink ref="B1121" r:id="rId_hyperlink_2239" tooltip="https://www.diodes.com/datasheet/download/DMP3096LQ.pdf" display="https://www.diodes.com/datasheet/download/DMP3096LQ.pdf"/>
    <hyperlink ref="C1121" r:id="rId_hyperlink_2240" tooltip="DMP3096LQ" display="DMP3096LQ"/>
    <hyperlink ref="B1122" r:id="rId_hyperlink_2241" tooltip="https://www.diodes.com/datasheet/download/DMP3097L.pdf" display="https://www.diodes.com/datasheet/download/DMP3097L.pdf"/>
    <hyperlink ref="C1122" r:id="rId_hyperlink_2242" tooltip="DMP3097L" display="DMP3097L"/>
    <hyperlink ref="B1123" r:id="rId_hyperlink_2243" tooltip="https://www.diodes.com/datasheet/download/DMP3097LQ.pdf" display="https://www.diodes.com/datasheet/download/DMP3097LQ.pdf"/>
    <hyperlink ref="C1123" r:id="rId_hyperlink_2244" tooltip="DMP3097LQ" display="DMP3097LQ"/>
    <hyperlink ref="B1124" r:id="rId_hyperlink_2245" tooltip="https://www.diodes.com/datasheet/download/DMP3098L.pdf" display="https://www.diodes.com/datasheet/download/DMP3098L.pdf"/>
    <hyperlink ref="C1124" r:id="rId_hyperlink_2246" tooltip="DMP3098L" display="DMP3098L"/>
    <hyperlink ref="B1125" r:id="rId_hyperlink_2247" tooltip="https://www.diodes.com/datasheet/download/DMP3098LDM.pdf" display="https://www.diodes.com/datasheet/download/DMP3098LDM.pdf"/>
    <hyperlink ref="C1125" r:id="rId_hyperlink_2248" tooltip="DMP3098LDM" display="DMP3098LDM"/>
    <hyperlink ref="B1126" r:id="rId_hyperlink_2249" tooltip="https://www.diodes.com/datasheet/download/DMP3098LQ.pdf" display="https://www.diodes.com/datasheet/download/DMP3098LQ.pdf"/>
    <hyperlink ref="C1126" r:id="rId_hyperlink_2250" tooltip="DMP3098LQ" display="DMP3098LQ"/>
    <hyperlink ref="B1127" r:id="rId_hyperlink_2251" tooltip="https://www.diodes.com/datasheet/download/DMP3098LSD.pdf" display="https://www.diodes.com/datasheet/download/DMP3098LSD.pdf"/>
    <hyperlink ref="C1127" r:id="rId_hyperlink_2252" tooltip="DMP3098LSD" display="DMP3098LSD"/>
    <hyperlink ref="B1128" r:id="rId_hyperlink_2253" tooltip="https://www.diodes.com/datasheet/download/DMP3098LSS.pdf" display="https://www.diodes.com/datasheet/download/DMP3098LSS.pdf"/>
    <hyperlink ref="C1128" r:id="rId_hyperlink_2254" tooltip="DMP3098LSS" display="DMP3098LSS"/>
    <hyperlink ref="B1129" r:id="rId_hyperlink_2255" tooltip="https://www.diodes.com/datasheet/download/DMP3099L.pdf" display="https://www.diodes.com/datasheet/download/DMP3099L.pdf"/>
    <hyperlink ref="C1129" r:id="rId_hyperlink_2256" tooltip="DMP3099L" display="DMP3099L"/>
    <hyperlink ref="B1130" r:id="rId_hyperlink_2257" tooltip="https://www.diodes.com/datasheet/download/DMP3099LQ.pdf" display="https://www.diodes.com/datasheet/download/DMP3099LQ.pdf"/>
    <hyperlink ref="C1130" r:id="rId_hyperlink_2258" tooltip="DMP3099LQ" display="DMP3099LQ"/>
    <hyperlink ref="B1131" r:id="rId_hyperlink_2259" tooltip="https://www.diodes.com/datasheet/download/DMP3105LVT.pdf" display="https://www.diodes.com/datasheet/download/DMP3105LVT.pdf"/>
    <hyperlink ref="C1131" r:id="rId_hyperlink_2260" tooltip="DMP3105LVT" display="DMP3105LVT"/>
    <hyperlink ref="B1132" r:id="rId_hyperlink_2261" tooltip="https://www.diodes.com/datasheet/download/DMP3125L.pdf" display="https://www.diodes.com/datasheet/download/DMP3125L.pdf"/>
    <hyperlink ref="C1132" r:id="rId_hyperlink_2262" tooltip="DMP3125L" display="DMP3125L"/>
    <hyperlink ref="B1133" r:id="rId_hyperlink_2263" tooltip="https://www.diodes.com/datasheet/download/DMP3130LQ.pdf" display="https://www.diodes.com/datasheet/download/DMP3130LQ.pdf"/>
    <hyperlink ref="C1133" r:id="rId_hyperlink_2264" tooltip="DMP3130LQ" display="DMP3130LQ"/>
    <hyperlink ref="B1134" r:id="rId_hyperlink_2265" tooltip="https://www.diodes.com/datasheet/download/DMP3160L.pdf" display="https://www.diodes.com/datasheet/download/DMP3160L.pdf"/>
    <hyperlink ref="C1134" r:id="rId_hyperlink_2266" tooltip="DMP3160L" display="DMP3160L"/>
    <hyperlink ref="B1135" r:id="rId_hyperlink_2267" tooltip="https://www.diodes.com/datasheet/download/DMP3164LVT.pdf" display="https://www.diodes.com/datasheet/download/DMP3164LVT.pdf"/>
    <hyperlink ref="C1135" r:id="rId_hyperlink_2268" tooltip="DMP3164LVT" display="DMP3164LVT"/>
    <hyperlink ref="B1136" r:id="rId_hyperlink_2269" tooltip="https://www.diodes.com/datasheet/download/DMP3165L.pdf" display="https://www.diodes.com/datasheet/download/DMP3165L.pdf"/>
    <hyperlink ref="C1136" r:id="rId_hyperlink_2270" tooltip="DMP3165L" display="DMP3165L"/>
    <hyperlink ref="B1137" r:id="rId_hyperlink_2271" tooltip="https://www.diodes.com/datasheet/download/DMP3165LQ.pdf" display="https://www.diodes.com/datasheet/download/DMP3165LQ.pdf"/>
    <hyperlink ref="C1137" r:id="rId_hyperlink_2272" tooltip="DMP3165LQ" display="DMP3165LQ"/>
    <hyperlink ref="B1138" r:id="rId_hyperlink_2273" tooltip="https://www.diodes.com/datasheet/download/DMP3165SVTQ.pdf" display="https://www.diodes.com/datasheet/download/DMP3165SVTQ.pdf"/>
    <hyperlink ref="C1138" r:id="rId_hyperlink_2274" tooltip="DMP3165SVTQ" display="DMP3165SVTQ"/>
    <hyperlink ref="B1139" r:id="rId_hyperlink_2275" tooltip="https://www.diodes.com/datasheet/download/DMP31D0U.pdf" display="https://www.diodes.com/datasheet/download/DMP31D0U.pdf"/>
    <hyperlink ref="C1139" r:id="rId_hyperlink_2276" tooltip="DMP31D0U" display="DMP31D0U"/>
    <hyperlink ref="B1140" r:id="rId_hyperlink_2277" tooltip="https://www.diodes.com/datasheet/download/DMP31D0UFB4.pdf" display="https://www.diodes.com/datasheet/download/DMP31D0UFB4.pdf"/>
    <hyperlink ref="C1140" r:id="rId_hyperlink_2278" tooltip="DMP31D0UFB4" display="DMP31D0UFB4"/>
    <hyperlink ref="B1141" r:id="rId_hyperlink_2279" tooltip="https://www.diodes.com/datasheet/download/DMP31D1U.pdf" display="https://www.diodes.com/datasheet/download/DMP31D1U.pdf"/>
    <hyperlink ref="C1141" r:id="rId_hyperlink_2280" tooltip="DMP31D1U" display="DMP31D1U"/>
    <hyperlink ref="B1142" r:id="rId_hyperlink_2281" tooltip="https://www.diodes.com/datasheet/download/DMP31D1UDW.pdf" display="https://www.diodes.com/datasheet/download/DMP31D1UDW.pdf"/>
    <hyperlink ref="C1142" r:id="rId_hyperlink_2282" tooltip="DMP31D1UDW" display="DMP31D1UDW"/>
    <hyperlink ref="B1143" r:id="rId_hyperlink_2283" tooltip="https://www.diodes.com/datasheet/download/DMP31D1UDWQ.pdf" display="https://www.diodes.com/datasheet/download/DMP31D1UDWQ.pdf"/>
    <hyperlink ref="C1143" r:id="rId_hyperlink_2284" tooltip="DMP31D1UDWQ" display="DMP31D1UDWQ"/>
    <hyperlink ref="B1144" r:id="rId_hyperlink_2285" tooltip="https://www.diodes.com/datasheet/download/DMP31D1UFB4.pdf" display="https://www.diodes.com/datasheet/download/DMP31D1UFB4.pdf"/>
    <hyperlink ref="C1144" r:id="rId_hyperlink_2286" tooltip="DMP31D1UFB4" display="DMP31D1UFB4"/>
    <hyperlink ref="B1145" r:id="rId_hyperlink_2287" tooltip="https://www.diodes.com/datasheet/download/DMP31D1UFB4Q.pdf" display="https://www.diodes.com/datasheet/download/DMP31D1UFB4Q.pdf"/>
    <hyperlink ref="C1145" r:id="rId_hyperlink_2288" tooltip="DMP31D1UFB4Q" display="DMP31D1UFB4Q"/>
    <hyperlink ref="B1146" r:id="rId_hyperlink_2289" tooltip="https://www.diodes.com/datasheet/download/DMP31D1UQ.pdf" display="https://www.diodes.com/datasheet/download/DMP31D1UQ.pdf"/>
    <hyperlink ref="C1146" r:id="rId_hyperlink_2290" tooltip="DMP31D1UQ" display="DMP31D1UQ"/>
    <hyperlink ref="B1147" r:id="rId_hyperlink_2291" tooltip="https://www.diodes.com/datasheet/download/DMP31D1UVT.pdf" display="https://www.diodes.com/datasheet/download/DMP31D1UVT.pdf"/>
    <hyperlink ref="C1147" r:id="rId_hyperlink_2292" tooltip="DMP31D1UVT" display="DMP31D1UVT"/>
    <hyperlink ref="B1148" r:id="rId_hyperlink_2293" tooltip="https://www.diodes.com/datasheet/download/DMP31D1UVTQ.pdf" display="https://www.diodes.com/datasheet/download/DMP31D1UVTQ.pdf"/>
    <hyperlink ref="C1148" r:id="rId_hyperlink_2294" tooltip="DMP31D1UVTQ" display="DMP31D1UVTQ"/>
    <hyperlink ref="B1149" r:id="rId_hyperlink_2295" tooltip="https://www.diodes.com/datasheet/download/DMP31D1UW.pdf" display="https://www.diodes.com/datasheet/download/DMP31D1UW.pdf"/>
    <hyperlink ref="C1149" r:id="rId_hyperlink_2296" tooltip="DMP31D1UW" display="DMP31D1UW"/>
    <hyperlink ref="B1150" r:id="rId_hyperlink_2297" tooltip="https://www.diodes.com/datasheet/download/DMP31D1UWQ.pdf" display="https://www.diodes.com/datasheet/download/DMP31D1UWQ.pdf"/>
    <hyperlink ref="C1150" r:id="rId_hyperlink_2298" tooltip="DMP31D1UWQ" display="DMP31D1UWQ"/>
    <hyperlink ref="B1151" r:id="rId_hyperlink_2299" tooltip="https://www.diodes.com/datasheet/download/DMP31D7L.pdf" display="https://www.diodes.com/datasheet/download/DMP31D7L.pdf"/>
    <hyperlink ref="C1151" r:id="rId_hyperlink_2300" tooltip="DMP31D7L" display="DMP31D7L"/>
    <hyperlink ref="B1152" r:id="rId_hyperlink_2301" tooltip="https://www.diodes.com/datasheet/download/DMP31D7LDW+.pdf" display="https://www.diodes.com/datasheet/download/DMP31D7LDW+.pdf"/>
    <hyperlink ref="C1152" r:id="rId_hyperlink_2302" tooltip="DMP31D7LDW" display="DMP31D7LDW"/>
    <hyperlink ref="B1153" r:id="rId_hyperlink_2303" tooltip="https://www.diodes.com/datasheet/download/DMP31D7LDWQ.pdf" display="https://www.diodes.com/datasheet/download/DMP31D7LDWQ.pdf"/>
    <hyperlink ref="C1153" r:id="rId_hyperlink_2304" tooltip="DMP31D7LDWQ" display="DMP31D7LDWQ"/>
    <hyperlink ref="B1154" r:id="rId_hyperlink_2305" tooltip="https://www.diodes.com/datasheet/download/DMP31D7LFB.pdf" display="https://www.diodes.com/datasheet/download/DMP31D7LFB.pdf"/>
    <hyperlink ref="C1154" r:id="rId_hyperlink_2306" tooltip="DMP31D7LFB" display="DMP31D7LFB"/>
    <hyperlink ref="B1155" r:id="rId_hyperlink_2307" tooltip="https://www.diodes.com/datasheet/download/DMP31D7LFBQ.pdf" display="https://www.diodes.com/datasheet/download/DMP31D7LFBQ.pdf"/>
    <hyperlink ref="C1155" r:id="rId_hyperlink_2308" tooltip="DMP31D7LFBQ" display="DMP31D7LFBQ"/>
    <hyperlink ref="B1156" r:id="rId_hyperlink_2309" tooltip="https://www.diodes.com/datasheet/download/DMP31D7LQ.pdf" display="https://www.diodes.com/datasheet/download/DMP31D7LQ.pdf"/>
    <hyperlink ref="C1156" r:id="rId_hyperlink_2310" tooltip="DMP31D7LQ" display="DMP31D7LQ"/>
    <hyperlink ref="B1157" r:id="rId_hyperlink_2311" tooltip="https://www.diodes.com/datasheet/download/DMP31D7LT.pdf" display="https://www.diodes.com/datasheet/download/DMP31D7LT.pdf"/>
    <hyperlink ref="C1157" r:id="rId_hyperlink_2312" tooltip="DMP31D7LT" display="DMP31D7LT"/>
    <hyperlink ref="B1158" r:id="rId_hyperlink_2313" tooltip="https://www.diodes.com/datasheet/download/DMP31D7LTQ.pdf" display="https://www.diodes.com/datasheet/download/DMP31D7LTQ.pdf"/>
    <hyperlink ref="C1158" r:id="rId_hyperlink_2314" tooltip="DMP31D7LTQ" display="DMP31D7LTQ"/>
    <hyperlink ref="B1159" r:id="rId_hyperlink_2315" tooltip="https://www.diodes.com/datasheet/download/DMP31D7LV.pdf" display="https://www.diodes.com/datasheet/download/DMP31D7LV.pdf"/>
    <hyperlink ref="C1159" r:id="rId_hyperlink_2316" tooltip="DMP31D7LV" display="DMP31D7LV"/>
    <hyperlink ref="B1160" r:id="rId_hyperlink_2317" tooltip="https://www.diodes.com/datasheet/download/DMP31D7LVQ.pdf" display="https://www.diodes.com/datasheet/download/DMP31D7LVQ.pdf"/>
    <hyperlink ref="C1160" r:id="rId_hyperlink_2318" tooltip="DMP31D7LVQ" display="DMP31D7LVQ"/>
    <hyperlink ref="B1161" r:id="rId_hyperlink_2319" tooltip="https://www.diodes.com/datasheet/download/DMP31D7LW.pdf" display="https://www.diodes.com/datasheet/download/DMP31D7LW.pdf"/>
    <hyperlink ref="C1161" r:id="rId_hyperlink_2320" tooltip="DMP31D7LW" display="DMP31D7LW"/>
    <hyperlink ref="B1162" r:id="rId_hyperlink_2321" tooltip="https://www.diodes.com/datasheet/download/DMP31D7LWQ.pdf" display="https://www.diodes.com/datasheet/download/DMP31D7LWQ.pdf"/>
    <hyperlink ref="C1162" r:id="rId_hyperlink_2322" tooltip="DMP31D7LWQ" display="DMP31D7LWQ"/>
    <hyperlink ref="B1163" r:id="rId_hyperlink_2323" tooltip="https://www.diodes.com/datasheet/download/DMP32D4S.pdf" display="https://www.diodes.com/datasheet/download/DMP32D4S.pdf"/>
    <hyperlink ref="C1163" r:id="rId_hyperlink_2324" tooltip="DMP32D4S" display="DMP32D4S"/>
    <hyperlink ref="B1164" r:id="rId_hyperlink_2325" tooltip="https://www.diodes.com/datasheet/download/DMP32D4SFB.pdf" display="https://www.diodes.com/datasheet/download/DMP32D4SFB.pdf"/>
    <hyperlink ref="C1164" r:id="rId_hyperlink_2326" tooltip="DMP32D4SFB" display="DMP32D4SFB"/>
    <hyperlink ref="B1165" r:id="rId_hyperlink_2327" tooltip="https://www.diodes.com/datasheet/download/DMP32D4SW.pdf" display="https://www.diodes.com/datasheet/download/DMP32D4SW.pdf"/>
    <hyperlink ref="C1165" r:id="rId_hyperlink_2328" tooltip="DMP32D4SW" display="DMP32D4SW"/>
    <hyperlink ref="B1166" r:id="rId_hyperlink_2329" tooltip="https://www.diodes.com/datasheet/download/DMP32D5LFA.pdf" display="https://www.diodes.com/datasheet/download/DMP32D5LFA.pdf"/>
    <hyperlink ref="C1166" r:id="rId_hyperlink_2330" tooltip="DMP32D5LFA" display="DMP32D5LFA"/>
    <hyperlink ref="B1167" r:id="rId_hyperlink_2331" tooltip="https://www.diodes.com/datasheet/download/DMP32D5SFB.pdf" display="https://www.diodes.com/datasheet/download/DMP32D5SFB.pdf"/>
    <hyperlink ref="C1167" r:id="rId_hyperlink_2332" tooltip="DMP32D5SFB" display="DMP32D5SFB"/>
    <hyperlink ref="B1168" r:id="rId_hyperlink_2333" tooltip="https://www.diodes.com/datasheet/download/DMP32D8UFZ.pdf" display="https://www.diodes.com/datasheet/download/DMP32D8UFZ.pdf"/>
    <hyperlink ref="C1168" r:id="rId_hyperlink_2334" tooltip="DMP32D8UFZ" display="DMP32D8UFZ"/>
    <hyperlink ref="B1169" r:id="rId_hyperlink_2335" tooltip="https://www.diodes.com/datasheet/download/DMP32D9UDA.pdf" display="https://www.diodes.com/datasheet/download/DMP32D9UDA.pdf"/>
    <hyperlink ref="C1169" r:id="rId_hyperlink_2336" tooltip="DMP32D9UDA" display="DMP32D9UDA"/>
    <hyperlink ref="B1170" r:id="rId_hyperlink_2337" tooltip="https://www.diodes.com/datasheet/download/DMP32D9UDAQ.pdf" display="https://www.diodes.com/datasheet/download/DMP32D9UDAQ.pdf"/>
    <hyperlink ref="C1170" r:id="rId_hyperlink_2338" tooltip="DMP32D9UDAQ" display="DMP32D9UDAQ"/>
    <hyperlink ref="B1171" r:id="rId_hyperlink_2339" tooltip="https://www.diodes.com/datasheet/download/DMP32D9UFA.pdf" display="https://www.diodes.com/datasheet/download/DMP32D9UFA.pdf"/>
    <hyperlink ref="C1171" r:id="rId_hyperlink_2340" tooltip="DMP32D9UFA" display="DMP32D9UFA"/>
    <hyperlink ref="B1172" r:id="rId_hyperlink_2341" tooltip="https://www.diodes.com/datasheet/download/DMP32D9UFO.pdf" display="https://www.diodes.com/datasheet/download/DMP32D9UFO.pdf"/>
    <hyperlink ref="C1172" r:id="rId_hyperlink_2342" tooltip="DMP32D9UFO" display="DMP32D9UFO"/>
    <hyperlink ref="B1173" r:id="rId_hyperlink_2343" tooltip="https://www.diodes.com/datasheet/download/DMP32D9UFZ.pdf" display="https://www.diodes.com/datasheet/download/DMP32D9UFZ.pdf"/>
    <hyperlink ref="C1173" r:id="rId_hyperlink_2344" tooltip="DMP32D9UFZ" display="DMP32D9UFZ"/>
    <hyperlink ref="B1174" r:id="rId_hyperlink_2345" tooltip="https://www.diodes.com/datasheet/download/DMP32M6SPS.pdf" display="https://www.diodes.com/datasheet/download/DMP32M6SPS.pdf"/>
    <hyperlink ref="C1174" r:id="rId_hyperlink_2346" tooltip="DMP32M6SPS" display="DMP32M6SPS"/>
    <hyperlink ref="B1175" r:id="rId_hyperlink_2347" tooltip="https://www.diodes.com/datasheet/download/DMP34M4SPS.pdf" display="https://www.diodes.com/datasheet/download/DMP34M4SPS.pdf"/>
    <hyperlink ref="C1175" r:id="rId_hyperlink_2348" tooltip="DMP34M4SPS" display="DMP34M4SPS"/>
    <hyperlink ref="B1176" r:id="rId_hyperlink_2349" tooltip="https://www.diodes.com/datasheet/download/DMP4006SPSW.pdf" display="https://www.diodes.com/datasheet/download/DMP4006SPSW.pdf"/>
    <hyperlink ref="C1176" r:id="rId_hyperlink_2350" tooltip="DMP4006SPSW" display="DMP4006SPSW"/>
    <hyperlink ref="B1177" r:id="rId_hyperlink_2351" tooltip="https://www.diodes.com/datasheet/download/DMP4006SPSWQ.pdf" display="https://www.diodes.com/datasheet/download/DMP4006SPSWQ.pdf"/>
    <hyperlink ref="C1177" r:id="rId_hyperlink_2352" tooltip="DMP4006SPSWQ" display="DMP4006SPSWQ"/>
    <hyperlink ref="B1178" r:id="rId_hyperlink_2353" tooltip="https://www.diodes.com/datasheet/download/DMP4009SPSW.pdf" display="https://www.diodes.com/datasheet/download/DMP4009SPSW.pdf"/>
    <hyperlink ref="C1178" r:id="rId_hyperlink_2354" tooltip="DMP4009SPSW" display="DMP4009SPSW"/>
    <hyperlink ref="B1179" r:id="rId_hyperlink_2355" tooltip="https://www.diodes.com/datasheet/download/DMP4009SPSWQ.pdf" display="https://www.diodes.com/datasheet/download/DMP4009SPSWQ.pdf"/>
    <hyperlink ref="C1179" r:id="rId_hyperlink_2356" tooltip="DMP4009SPSWQ" display="DMP4009SPSWQ"/>
    <hyperlink ref="B1180" r:id="rId_hyperlink_2357" tooltip="https://www.diodes.com/datasheet/download/DMP4009SSS.pdf" display="https://www.diodes.com/datasheet/download/DMP4009SSS.pdf"/>
    <hyperlink ref="C1180" r:id="rId_hyperlink_2358" tooltip="DMP4009SSS" display="DMP4009SSS"/>
    <hyperlink ref="B1181" r:id="rId_hyperlink_2359" tooltip="https://www.diodes.com/datasheet/download/DMP4009SSSQ.pdf" display="https://www.diodes.com/datasheet/download/DMP4009SSSQ.pdf"/>
    <hyperlink ref="C1181" r:id="rId_hyperlink_2360" tooltip="DMP4009SSSQ" display="DMP4009SSSQ"/>
    <hyperlink ref="B1182" r:id="rId_hyperlink_2361" tooltip="https://www.diodes.com/datasheet/download/DMP4010SK3.pdf" display="https://www.diodes.com/datasheet/download/DMP4010SK3.pdf"/>
    <hyperlink ref="C1182" r:id="rId_hyperlink_2362" tooltip="DMP4010SK3" display="DMP4010SK3"/>
    <hyperlink ref="B1183" r:id="rId_hyperlink_2363" tooltip="https://www.diodes.com/datasheet/download/DMP4010SK3Q.pdf" display="https://www.diodes.com/datasheet/download/DMP4010SK3Q.pdf"/>
    <hyperlink ref="C1183" r:id="rId_hyperlink_2364" tooltip="DMP4010SK3Q" display="DMP4010SK3Q"/>
    <hyperlink ref="B1184" r:id="rId_hyperlink_2365" tooltip="https://www.diodes.com/datasheet/download/DMP4011SK3.pdf" display="https://www.diodes.com/datasheet/download/DMP4011SK3.pdf"/>
    <hyperlink ref="C1184" r:id="rId_hyperlink_2366" tooltip="DMP4011SK3" display="DMP4011SK3"/>
    <hyperlink ref="B1185" r:id="rId_hyperlink_2367" tooltip="https://www.diodes.com/datasheet/download/DMP4011SK3Q.pdf" display="https://www.diodes.com/datasheet/download/DMP4011SK3Q.pdf"/>
    <hyperlink ref="C1185" r:id="rId_hyperlink_2368" tooltip="DMP4011SK3Q" display="DMP4011SK3Q"/>
    <hyperlink ref="B1186" r:id="rId_hyperlink_2369" tooltip="https://www.diodes.com/datasheet/download/DMP4011SPS.pdf" display="https://www.diodes.com/datasheet/download/DMP4011SPS.pdf"/>
    <hyperlink ref="C1186" r:id="rId_hyperlink_2370" tooltip="DMP4011SPS" display="DMP4011SPS"/>
    <hyperlink ref="B1187" r:id="rId_hyperlink_2371" tooltip="https://www.diodes.com/datasheet/download/DMP4011SPSQ.pdf" display="https://www.diodes.com/datasheet/download/DMP4011SPSQ.pdf"/>
    <hyperlink ref="C1187" r:id="rId_hyperlink_2372" tooltip="DMP4011SPSQ" display="DMP4011SPSQ"/>
    <hyperlink ref="B1188" r:id="rId_hyperlink_2373" tooltip="https://www.diodes.com/datasheet/download/DMP4011SPSW.pdf" display="https://www.diodes.com/datasheet/download/DMP4011SPSW.pdf"/>
    <hyperlink ref="C1188" r:id="rId_hyperlink_2374" tooltip="DMP4011SPSW" display="DMP4011SPSW"/>
    <hyperlink ref="B1189" r:id="rId_hyperlink_2375" tooltip="https://www.diodes.com/datasheet/download/DMP4011SPSWQ.pdf" display="https://www.diodes.com/datasheet/download/DMP4011SPSWQ.pdf"/>
    <hyperlink ref="C1189" r:id="rId_hyperlink_2376" tooltip="DMP4011SPSWQ" display="DMP4011SPSWQ"/>
    <hyperlink ref="B1190" r:id="rId_hyperlink_2377" tooltip="https://www.diodes.com/datasheet/download/DMP4013LFG.pdf" display="https://www.diodes.com/datasheet/download/DMP4013LFG.pdf"/>
    <hyperlink ref="C1190" r:id="rId_hyperlink_2378" tooltip="DMP4013LFG" display="DMP4013LFG"/>
    <hyperlink ref="B1191" r:id="rId_hyperlink_2379" tooltip="https://www.diodes.com/datasheet/download/DMP4013LFGQ.pdf" display="https://www.diodes.com/datasheet/download/DMP4013LFGQ.pdf"/>
    <hyperlink ref="C1191" r:id="rId_hyperlink_2380" tooltip="DMP4013LFGQ" display="DMP4013LFGQ"/>
    <hyperlink ref="B1192" r:id="rId_hyperlink_2381" tooltip="https://www.diodes.com/datasheet/download/DMP4013SPS.pdf" display="https://www.diodes.com/datasheet/download/DMP4013SPS.pdf"/>
    <hyperlink ref="C1192" r:id="rId_hyperlink_2382" tooltip="DMP4013SPS" display="DMP4013SPS"/>
    <hyperlink ref="B1193" r:id="rId_hyperlink_2383" tooltip="https://www.diodes.com/datasheet/download/DMP4013SPSQ.pdf" display="https://www.diodes.com/datasheet/download/DMP4013SPSQ.pdf"/>
    <hyperlink ref="C1193" r:id="rId_hyperlink_2384" tooltip="DMP4013SPSQ" display="DMP4013SPSQ"/>
    <hyperlink ref="B1194" r:id="rId_hyperlink_2385" tooltip="https://www.diodes.com/datasheet/download/DMP4013SPSW.pdf" display="https://www.diodes.com/datasheet/download/DMP4013SPSW.pdf"/>
    <hyperlink ref="C1194" r:id="rId_hyperlink_2386" tooltip="DMP4013SPSW" display="DMP4013SPSW"/>
    <hyperlink ref="B1195" r:id="rId_hyperlink_2387" tooltip="https://www.diodes.com/datasheet/download/DMP4013SPSWQ.pdf" display="https://www.diodes.com/datasheet/download/DMP4013SPSWQ.pdf"/>
    <hyperlink ref="C1195" r:id="rId_hyperlink_2388" tooltip="DMP4013SPSWQ" display="DMP4013SPSWQ"/>
    <hyperlink ref="B1196" r:id="rId_hyperlink_2389" tooltip="https://www.diodes.com/datasheet/download/DMP4015SK3.pdf" display="https://www.diodes.com/datasheet/download/DMP4015SK3.pdf"/>
    <hyperlink ref="C1196" r:id="rId_hyperlink_2390" tooltip="DMP4015SK3" display="DMP4015SK3"/>
    <hyperlink ref="B1197" r:id="rId_hyperlink_2391" tooltip="https://www.diodes.com/datasheet/download/DMP4015SK3Q.pdf" display="https://www.diodes.com/datasheet/download/DMP4015SK3Q.pdf"/>
    <hyperlink ref="C1197" r:id="rId_hyperlink_2392" tooltip="DMP4015SK3Q" display="DMP4015SK3Q"/>
    <hyperlink ref="B1198" r:id="rId_hyperlink_2393" tooltip="https://www.diodes.com/datasheet/download/DMP4015SPS.pdf" display="https://www.diodes.com/datasheet/download/DMP4015SPS.pdf"/>
    <hyperlink ref="C1198" r:id="rId_hyperlink_2394" tooltip="DMP4015SPS" display="DMP4015SPS"/>
    <hyperlink ref="B1199" r:id="rId_hyperlink_2395" tooltip="https://www.diodes.com/datasheet/download/DMP4015SPSQ.pdf" display="https://www.diodes.com/datasheet/download/DMP4015SPSQ.pdf"/>
    <hyperlink ref="C1199" r:id="rId_hyperlink_2396" tooltip="DMP4015SPSQ" display="DMP4015SPSQ"/>
    <hyperlink ref="B1200" r:id="rId_hyperlink_2397" tooltip="https://www.diodes.com/datasheet/download/DMP4015SPSW.pdf" display="https://www.diodes.com/datasheet/download/DMP4015SPSW.pdf"/>
    <hyperlink ref="C1200" r:id="rId_hyperlink_2398" tooltip="DMP4015SPSW" display="DMP4015SPSW"/>
    <hyperlink ref="B1201" r:id="rId_hyperlink_2399" tooltip="https://www.diodes.com/datasheet/download/DMP4015SPSWQ.pdf" display="https://www.diodes.com/datasheet/download/DMP4015SPSWQ.pdf"/>
    <hyperlink ref="C1201" r:id="rId_hyperlink_2400" tooltip="DMP4015SPSWQ" display="DMP4015SPSWQ"/>
    <hyperlink ref="B1202" r:id="rId_hyperlink_2401" tooltip="https://www.diodes.com/datasheet/download/DMP4015SSS.pdf" display="https://www.diodes.com/datasheet/download/DMP4015SSS.pdf"/>
    <hyperlink ref="C1202" r:id="rId_hyperlink_2402" tooltip="DMP4015SSS" display="DMP4015SSS"/>
    <hyperlink ref="B1203" r:id="rId_hyperlink_2403" tooltip="https://www.diodes.com/datasheet/download/DMP4015SSSQ.pdf" display="https://www.diodes.com/datasheet/download/DMP4015SSSQ.pdf"/>
    <hyperlink ref="C1203" r:id="rId_hyperlink_2404" tooltip="DMP4015SSSQ" display="DMP4015SSSQ"/>
    <hyperlink ref="B1204" r:id="rId_hyperlink_2405" tooltip="https://www.diodes.com/datasheet/download/DMP4016SK3.pdf" display="https://www.diodes.com/datasheet/download/DMP4016SK3.pdf"/>
    <hyperlink ref="C1204" r:id="rId_hyperlink_2406" tooltip="DMP4016SK3" display="DMP4016SK3"/>
    <hyperlink ref="B1205" r:id="rId_hyperlink_2407" tooltip="https://www.diodes.com/datasheet/download/DMP4016SK3Q.pdf" display="https://www.diodes.com/datasheet/download/DMP4016SK3Q.pdf"/>
    <hyperlink ref="C1205" r:id="rId_hyperlink_2408" tooltip="DMP4016SK3Q" display="DMP4016SK3Q"/>
    <hyperlink ref="B1206" r:id="rId_hyperlink_2409" tooltip="https://www.diodes.com/datasheet/download/DMP4016SPSW.pdf" display="https://www.diodes.com/datasheet/download/DMP4016SPSW.pdf"/>
    <hyperlink ref="C1206" r:id="rId_hyperlink_2410" tooltip="DMP4016SPSW" display="DMP4016SPSW"/>
    <hyperlink ref="B1207" r:id="rId_hyperlink_2411" tooltip="https://www.diodes.com/datasheet/download/DMP4016SPSWQ.pdf" display="https://www.diodes.com/datasheet/download/DMP4016SPSWQ.pdf"/>
    <hyperlink ref="C1207" r:id="rId_hyperlink_2412" tooltip="DMP4016SPSWQ" display="DMP4016SPSWQ"/>
    <hyperlink ref="B1208" r:id="rId_hyperlink_2413" tooltip="https://www.diodes.com/datasheet/download/DMP4016SSS.pdf" display="https://www.diodes.com/datasheet/download/DMP4016SSS.pdf"/>
    <hyperlink ref="C1208" r:id="rId_hyperlink_2414" tooltip="DMP4016SSS" display="DMP4016SSS"/>
    <hyperlink ref="B1209" r:id="rId_hyperlink_2415" tooltip="https://www.diodes.com/datasheet/download/DMP4016SSSQ.pdf" display="https://www.diodes.com/datasheet/download/DMP4016SSSQ.pdf"/>
    <hyperlink ref="C1209" r:id="rId_hyperlink_2416" tooltip="DMP4016SSSQ" display="DMP4016SSSQ"/>
    <hyperlink ref="B1210" r:id="rId_hyperlink_2417" tooltip="https://www.diodes.com/datasheet/download/DMP4025LK3Q.pdf" display="https://www.diodes.com/datasheet/download/DMP4025LK3Q.pdf"/>
    <hyperlink ref="C1210" r:id="rId_hyperlink_2418" tooltip="DMP4025LK3Q" display="DMP4025LK3Q"/>
    <hyperlink ref="B1211" r:id="rId_hyperlink_2419" tooltip="https://www.diodes.com/datasheet/download/DMP4025LSS.pdf" display="https://www.diodes.com/datasheet/download/DMP4025LSS.pdf"/>
    <hyperlink ref="C1211" r:id="rId_hyperlink_2420" tooltip="DMP4025LSS" display="DMP4025LSS"/>
    <hyperlink ref="B1212" r:id="rId_hyperlink_2421" tooltip="https://www.diodes.com/datasheet/download/DMP4025LSSQ.pdf" display="https://www.diodes.com/datasheet/download/DMP4025LSSQ.pdf"/>
    <hyperlink ref="C1212" r:id="rId_hyperlink_2422" tooltip="DMP4025LSSQ" display="DMP4025LSSQ"/>
    <hyperlink ref="B1213" r:id="rId_hyperlink_2423" tooltip="https://www.diodes.com/datasheet/download/DMP4026LK3.pdf" display="https://www.diodes.com/datasheet/download/DMP4026LK3.pdf"/>
    <hyperlink ref="C1213" r:id="rId_hyperlink_2424" tooltip="DMP4026LK3" display="DMP4026LK3"/>
    <hyperlink ref="B1214" r:id="rId_hyperlink_2425" tooltip="https://www.diodes.com/datasheet/download/DMP4026LK3Q.pdf" display="https://www.diodes.com/datasheet/download/DMP4026LK3Q.pdf"/>
    <hyperlink ref="C1214" r:id="rId_hyperlink_2426" tooltip="DMP4026LK3Q" display="DMP4026LK3Q"/>
    <hyperlink ref="B1215" r:id="rId_hyperlink_2427" tooltip="https://www.diodes.com/datasheet/download/DMP4026LSD.pdf" display="https://www.diodes.com/datasheet/download/DMP4026LSD.pdf"/>
    <hyperlink ref="C1215" r:id="rId_hyperlink_2428" tooltip="DMP4026LSD" display="DMP4026LSD"/>
    <hyperlink ref="B1216" r:id="rId_hyperlink_2429" tooltip="https://www.diodes.com/datasheet/download/DMP4026LSDQ.pdf" display="https://www.diodes.com/datasheet/download/DMP4026LSDQ.pdf"/>
    <hyperlink ref="C1216" r:id="rId_hyperlink_2430" tooltip="DMP4026LSDQ" display="DMP4026LSDQ"/>
    <hyperlink ref="B1217" r:id="rId_hyperlink_2431" tooltip="https://www.diodes.com/datasheet/download/DMP4026LSS.pdf" display="https://www.diodes.com/datasheet/download/DMP4026LSS.pdf"/>
    <hyperlink ref="C1217" r:id="rId_hyperlink_2432" tooltip="DMP4026LSS" display="DMP4026LSS"/>
    <hyperlink ref="B1218" r:id="rId_hyperlink_2433" tooltip="https://www.diodes.com/datasheet/download/DMP4026LSSQ.pdf" display="https://www.diodes.com/datasheet/download/DMP4026LSSQ.pdf"/>
    <hyperlink ref="C1218" r:id="rId_hyperlink_2434" tooltip="DMP4026LSSQ" display="DMP4026LSSQ"/>
    <hyperlink ref="B1219" r:id="rId_hyperlink_2435" tooltip="https://www.diodes.com/datasheet/download/DMP4026SFG.pdf" display="https://www.diodes.com/datasheet/download/DMP4026SFG.pdf"/>
    <hyperlink ref="C1219" r:id="rId_hyperlink_2436" tooltip="DMP4026SFG" display="DMP4026SFG"/>
    <hyperlink ref="B1220" r:id="rId_hyperlink_2437" tooltip="https://www.diodes.com/datasheet/download/DMP4026SFGQ.pdf" display="https://www.diodes.com/datasheet/download/DMP4026SFGQ.pdf"/>
    <hyperlink ref="C1220" r:id="rId_hyperlink_2438" tooltip="DMP4026SFGQ" display="DMP4026SFGQ"/>
    <hyperlink ref="B1221" r:id="rId_hyperlink_2439" tooltip="https://www.diodes.com/datasheet/download/DMP4026SFVW.pdf" display="https://www.diodes.com/datasheet/download/DMP4026SFVW.pdf"/>
    <hyperlink ref="C1221" r:id="rId_hyperlink_2440" tooltip="DMP4026SFVW" display="DMP4026SFVW"/>
    <hyperlink ref="B1222" r:id="rId_hyperlink_2441" tooltip="https://www.diodes.com/datasheet/download/DMP4026SFVWQ.pdf" display="https://www.diodes.com/datasheet/download/DMP4026SFVWQ.pdf"/>
    <hyperlink ref="C1222" r:id="rId_hyperlink_2442" tooltip="DMP4026SFVWQ" display="DMP4026SFVWQ"/>
    <hyperlink ref="B1223" r:id="rId_hyperlink_2443" tooltip="https://www.diodes.com/datasheet/download/DMP4047LFDE.pdf" display="https://www.diodes.com/datasheet/download/DMP4047LFDE.pdf"/>
    <hyperlink ref="C1223" r:id="rId_hyperlink_2444" tooltip="DMP4047LFDE" display="DMP4047LFDE"/>
    <hyperlink ref="B1224" r:id="rId_hyperlink_2445" tooltip="https://www.diodes.com/datasheet/download/DMP4047LFDEQ.pdf" display="https://www.diodes.com/datasheet/download/DMP4047LFDEQ.pdf"/>
    <hyperlink ref="C1224" r:id="rId_hyperlink_2446" tooltip="DMP4047LFDEQ" display="DMP4047LFDEQ"/>
    <hyperlink ref="B1225" r:id="rId_hyperlink_2447" tooltip="https://www.diodes.com/datasheet/download/DMP4047SK3.pdf" display="https://www.diodes.com/datasheet/download/DMP4047SK3.pdf"/>
    <hyperlink ref="C1225" r:id="rId_hyperlink_2448" tooltip="DMP4047SK3" display="DMP4047SK3"/>
    <hyperlink ref="B1226" r:id="rId_hyperlink_2449" tooltip="https://www.diodes.com/datasheet/download/DMP4047SSD.pdf" display="https://www.diodes.com/datasheet/download/DMP4047SSD.pdf"/>
    <hyperlink ref="C1226" r:id="rId_hyperlink_2450" tooltip="DMP4047SSD" display="DMP4047SSD"/>
    <hyperlink ref="B1227" r:id="rId_hyperlink_2451" tooltip="https://www.diodes.com/datasheet/download/DMP4047SSD.pdf" display="https://www.diodes.com/datasheet/download/DMP4047SSD.pdf"/>
    <hyperlink ref="C1227" r:id="rId_hyperlink_2452" tooltip="DMP4047SSDQ" display="DMP4047SSDQ"/>
    <hyperlink ref="B1228" r:id="rId_hyperlink_2453" tooltip="https://www.diodes.com/datasheet/download/DMP4050SSD.pdf" display="https://www.diodes.com/datasheet/download/DMP4050SSD.pdf"/>
    <hyperlink ref="C1228" r:id="rId_hyperlink_2454" tooltip="DMP4050SSD" display="DMP4050SSD"/>
    <hyperlink ref="B1229" r:id="rId_hyperlink_2455" tooltip="https://www.diodes.com/datasheet/download/DMP4050SSD.pdf" display="https://www.diodes.com/datasheet/download/DMP4050SSD.pdf"/>
    <hyperlink ref="C1229" r:id="rId_hyperlink_2456" tooltip="DMP4050SSDQ" display="DMP4050SSDQ"/>
    <hyperlink ref="B1230" r:id="rId_hyperlink_2457" tooltip="https://www.diodes.com/datasheet/download/DMP4050SSS.pdf" display="https://www.diodes.com/datasheet/download/DMP4050SSS.pdf"/>
    <hyperlink ref="C1230" r:id="rId_hyperlink_2458" tooltip="DMP4050SSS" display="DMP4050SSS"/>
    <hyperlink ref="B1231" r:id="rId_hyperlink_2459" tooltip="https://www.diodes.com/datasheet/download/DMP4051LK3.pdf" display="https://www.diodes.com/datasheet/download/DMP4051LK3.pdf"/>
    <hyperlink ref="C1231" r:id="rId_hyperlink_2460" tooltip="DMP4051LK3" display="DMP4051LK3"/>
    <hyperlink ref="B1232" r:id="rId_hyperlink_2461" tooltip="https://www.diodes.com/datasheet/download/DMP4065S.pdf" display="https://www.diodes.com/datasheet/download/DMP4065S.pdf"/>
    <hyperlink ref="C1232" r:id="rId_hyperlink_2462" tooltip="DMP4065S" display="DMP4065S"/>
    <hyperlink ref="B1233" r:id="rId_hyperlink_2463" tooltip="https://www.diodes.com/datasheet/download/DMP4065SK3.pdf" display="https://www.diodes.com/datasheet/download/DMP4065SK3.pdf"/>
    <hyperlink ref="C1233" r:id="rId_hyperlink_2464" tooltip="DMP4065SK3" display="DMP4065SK3"/>
    <hyperlink ref="B1234" r:id="rId_hyperlink_2465" tooltip="https://www.diodes.com/datasheet/download/DMP4065SQ.pdf" display="https://www.diodes.com/datasheet/download/DMP4065SQ.pdf"/>
    <hyperlink ref="C1234" r:id="rId_hyperlink_2466" tooltip="DMP4065SQ" display="DMP4065SQ"/>
    <hyperlink ref="B1235" r:id="rId_hyperlink_2467" tooltip="https://www.diodes.com/datasheet/download/DMP45H150DHE.pdf" display="https://www.diodes.com/datasheet/download/DMP45H150DHE.pdf"/>
    <hyperlink ref="C1235" r:id="rId_hyperlink_2468" tooltip="DMP45H150DHE" display="DMP45H150DHE"/>
    <hyperlink ref="B1236" r:id="rId_hyperlink_2469" tooltip="https://www.diodes.com/datasheet/download/DMP45H21DHE.pdf" display="https://www.diodes.com/datasheet/download/DMP45H21DHE.pdf"/>
    <hyperlink ref="C1236" r:id="rId_hyperlink_2470" tooltip="DMP45H21DHE" display="DMP45H21DHE"/>
    <hyperlink ref="B1237" r:id="rId_hyperlink_2471" tooltip="https://www.diodes.com/datasheet/download/DMP45H4D9HJ3.pdf" display="https://www.diodes.com/datasheet/download/DMP45H4D9HJ3.pdf"/>
    <hyperlink ref="C1237" r:id="rId_hyperlink_2472" tooltip="DMP45H4D9HJ3" display="DMP45H4D9HJ3"/>
    <hyperlink ref="B1238" r:id="rId_hyperlink_2473" tooltip="https://www.diodes.com/datasheet/download/DMP45H4D9HK3.pdf" display="https://www.diodes.com/datasheet/download/DMP45H4D9HK3.pdf"/>
    <hyperlink ref="C1238" r:id="rId_hyperlink_2474" tooltip="DMP45H4D9HK3" display="DMP45H4D9HK3"/>
    <hyperlink ref="B1239" r:id="rId_hyperlink_2475" tooltip="https://www.diodes.com/datasheet/download/DMP510DL.pdf" display="https://www.diodes.com/datasheet/download/DMP510DL.pdf"/>
    <hyperlink ref="C1239" r:id="rId_hyperlink_2476" tooltip="DMP510DL" display="DMP510DL"/>
    <hyperlink ref="B1240" r:id="rId_hyperlink_2477" tooltip="https://www.diodes.com/datasheet/download/DMP510DLQ.pdf" display="https://www.diodes.com/datasheet/download/DMP510DLQ.pdf"/>
    <hyperlink ref="C1240" r:id="rId_hyperlink_2478" tooltip="DMP510DLQ" display="DMP510DLQ"/>
    <hyperlink ref="B1241" r:id="rId_hyperlink_2479" tooltip="https://www.diodes.com/datasheet/download/DMP510DLW.pdf" display="https://www.diodes.com/datasheet/download/DMP510DLW.pdf"/>
    <hyperlink ref="C1241" r:id="rId_hyperlink_2480" tooltip="DMP510DLW" display="DMP510DLW"/>
    <hyperlink ref="B1242" r:id="rId_hyperlink_2481" tooltip="https://www.diodes.com/datasheet/download/DMP56D0UFB.pdf" display="https://www.diodes.com/datasheet/download/DMP56D0UFB.pdf"/>
    <hyperlink ref="C1242" r:id="rId_hyperlink_2482" tooltip="DMP56D0UFB" display="DMP56D0UFB"/>
    <hyperlink ref="B1243" r:id="rId_hyperlink_2483" tooltip="https://www.diodes.com/datasheet/download/DMP56D0UV.pdf" display="https://www.diodes.com/datasheet/download/DMP56D0UV.pdf"/>
    <hyperlink ref="C1243" r:id="rId_hyperlink_2484" tooltip="DMP56D0UV" display="DMP56D0UV"/>
    <hyperlink ref="B1244" r:id="rId_hyperlink_2485" tooltip="https://www.diodes.com/datasheet/download/DMP58D1LV.pdf" display="https://www.diodes.com/datasheet/download/DMP58D1LV.pdf"/>
    <hyperlink ref="C1244" r:id="rId_hyperlink_2486" tooltip="DMP58D1LV" display="DMP58D1LV"/>
    <hyperlink ref="B1245" r:id="rId_hyperlink_2487" tooltip="https://www.diodes.com/datasheet/download/DMP58D1LVQ.pdf" display="https://www.diodes.com/datasheet/download/DMP58D1LVQ.pdf"/>
    <hyperlink ref="C1245" r:id="rId_hyperlink_2488" tooltip="DMP58D1LVQ" display="DMP58D1LVQ"/>
    <hyperlink ref="B1246" r:id="rId_hyperlink_2489" tooltip="https://www.diodes.com/datasheet/download/DMP6018LPS.pdf" display="https://www.diodes.com/datasheet/download/DMP6018LPS.pdf"/>
    <hyperlink ref="C1246" r:id="rId_hyperlink_2490" tooltip="DMP6018LPS" display="DMP6018LPS"/>
    <hyperlink ref="B1247" r:id="rId_hyperlink_2491" tooltip="https://www.diodes.com/datasheet/download/DMP6018LPSQ.pdf" display="https://www.diodes.com/datasheet/download/DMP6018LPSQ.pdf"/>
    <hyperlink ref="C1247" r:id="rId_hyperlink_2492" tooltip="DMP6018LPSQ" display="DMP6018LPSQ"/>
    <hyperlink ref="B1248" r:id="rId_hyperlink_2493" tooltip="https://www.diodes.com/datasheet/download/DMP6023LE.pdf" display="https://www.diodes.com/datasheet/download/DMP6023LE.pdf"/>
    <hyperlink ref="C1248" r:id="rId_hyperlink_2494" tooltip="DMP6023LE" display="DMP6023LE"/>
    <hyperlink ref="B1249" r:id="rId_hyperlink_2495" tooltip="https://www.diodes.com/datasheet/download/DMP6023LEQ.pdf" display="https://www.diodes.com/datasheet/download/DMP6023LEQ.pdf"/>
    <hyperlink ref="C1249" r:id="rId_hyperlink_2496" tooltip="DMP6023LEQ" display="DMP6023LEQ"/>
    <hyperlink ref="B1250" r:id="rId_hyperlink_2497" tooltip="https://www.diodes.com/datasheet/download/DMP6023LFG.pdf" display="https://www.diodes.com/datasheet/download/DMP6023LFG.pdf"/>
    <hyperlink ref="C1250" r:id="rId_hyperlink_2498" tooltip="DMP6023LFG" display="DMP6023LFG"/>
    <hyperlink ref="B1251" r:id="rId_hyperlink_2499" tooltip="https://www.diodes.com/datasheet/download/DMP6023LFGQ.pdf" display="https://www.diodes.com/datasheet/download/DMP6023LFGQ.pdf"/>
    <hyperlink ref="C1251" r:id="rId_hyperlink_2500" tooltip="DMP6023LFGQ" display="DMP6023LFGQ"/>
    <hyperlink ref="B1252" r:id="rId_hyperlink_2501" tooltip="https://www.diodes.com/datasheet/download/DMP6023LSS.pdf" display="https://www.diodes.com/datasheet/download/DMP6023LSS.pdf"/>
    <hyperlink ref="C1252" r:id="rId_hyperlink_2502" tooltip="DMP6023LSS" display="DMP6023LSS"/>
    <hyperlink ref="B1253" r:id="rId_hyperlink_2503" tooltip="https://www.diodes.com/datasheet/download/DMP6050SFG.pdf" display="https://www.diodes.com/datasheet/download/DMP6050SFG.pdf"/>
    <hyperlink ref="C1253" r:id="rId_hyperlink_2504" tooltip="DMP6050SFG" display="DMP6050SFG"/>
    <hyperlink ref="B1254" r:id="rId_hyperlink_2505" tooltip="https://www.diodes.com/datasheet/download/DMP6050SPS.pdf" display="https://www.diodes.com/datasheet/download/DMP6050SPS.pdf"/>
    <hyperlink ref="C1254" r:id="rId_hyperlink_2506" tooltip="DMP6050SPS" display="DMP6050SPS"/>
    <hyperlink ref="B1255" r:id="rId_hyperlink_2507" tooltip="https://www.diodes.com/datasheet/download/DMP6050SPSW.pdf" display="https://www.diodes.com/datasheet/download/DMP6050SPSW.pdf"/>
    <hyperlink ref="C1255" r:id="rId_hyperlink_2508" tooltip="DMP6050SPSW" display="DMP6050SPSW"/>
    <hyperlink ref="B1256" r:id="rId_hyperlink_2509" tooltip="https://www.diodes.com/datasheet/download/DMP6050SSD.pdf" display="https://www.diodes.com/datasheet/download/DMP6050SSD.pdf"/>
    <hyperlink ref="C1256" r:id="rId_hyperlink_2510" tooltip="DMP6050SSD" display="DMP6050SSD"/>
    <hyperlink ref="B1257" r:id="rId_hyperlink_2511" tooltip="https://www.diodes.com/datasheet/download/DMP6051SFVW.pdf" display="https://www.diodes.com/datasheet/download/DMP6051SFVW.pdf"/>
    <hyperlink ref="C1257" r:id="rId_hyperlink_2512" tooltip="DMP6051SFVW" display="DMP6051SFVW"/>
    <hyperlink ref="B1258" r:id="rId_hyperlink_2513" tooltip="https://www.diodes.com/datasheet/download/DMP6051SFVWQ.pdf" display="https://www.diodes.com/datasheet/download/DMP6051SFVWQ.pdf"/>
    <hyperlink ref="C1258" r:id="rId_hyperlink_2514" tooltip="DMP6051SFVWQ" display="DMP6051SFVWQ"/>
    <hyperlink ref="B1259" r:id="rId_hyperlink_2515" tooltip="https://www.diodes.com/datasheet/download/DMP6051SSD.pdf" display="https://www.diodes.com/datasheet/download/DMP6051SSD.pdf"/>
    <hyperlink ref="C1259" r:id="rId_hyperlink_2516" tooltip="DMP6051SSD" display="DMP6051SSD"/>
    <hyperlink ref="B1260" r:id="rId_hyperlink_2517" tooltip="https://www.diodes.com/datasheet/download/DMP6051SSDQ.pdf" display="https://www.diodes.com/datasheet/download/DMP6051SSDQ.pdf"/>
    <hyperlink ref="C1260" r:id="rId_hyperlink_2518" tooltip="DMP6051SSDQ" display="DMP6051SSDQ"/>
    <hyperlink ref="B1261" r:id="rId_hyperlink_2519" tooltip="https://www.diodes.com/datasheet/download/DMP6051SSS.pdf" display="https://www.diodes.com/datasheet/download/DMP6051SSS.pdf"/>
    <hyperlink ref="C1261" r:id="rId_hyperlink_2520" tooltip="DMP6051SSS" display="DMP6051SSS"/>
    <hyperlink ref="B1262" r:id="rId_hyperlink_2521" tooltip="https://www.diodes.com/datasheet/download/DMP6051SSSQ.pdf" display="https://www.diodes.com/datasheet/download/DMP6051SSSQ.pdf"/>
    <hyperlink ref="C1262" r:id="rId_hyperlink_2522" tooltip="DMP6051SSSQ" display="DMP6051SSSQ"/>
    <hyperlink ref="B1263" r:id="rId_hyperlink_2523" tooltip="https://www.diodes.com/datasheet/download/DMP610DL.pdf" display="https://www.diodes.com/datasheet/download/DMP610DL.pdf"/>
    <hyperlink ref="C1263" r:id="rId_hyperlink_2524" tooltip="DMP610DL" display="DMP610DL"/>
    <hyperlink ref="B1264" r:id="rId_hyperlink_2525" tooltip="https://www.diodes.com/datasheet/download/DMP610DLQ.pdf" display="https://www.diodes.com/datasheet/download/DMP610DLQ.pdf"/>
    <hyperlink ref="C1264" r:id="rId_hyperlink_2526" tooltip="DMP610DLQ" display="DMP610DLQ"/>
    <hyperlink ref="B1265" r:id="rId_hyperlink_2527" tooltip="https://www.diodes.com/datasheet/download/DMP6110SFDF.pdf" display="https://www.diodes.com/datasheet/download/DMP6110SFDF.pdf"/>
    <hyperlink ref="C1265" r:id="rId_hyperlink_2528" tooltip="DMP6110SFDF" display="DMP6110SFDF"/>
    <hyperlink ref="B1266" r:id="rId_hyperlink_2529" tooltip="https://www.diodes.com/datasheet/download/DMP6110SFDFQ.pdf" display="https://www.diodes.com/datasheet/download/DMP6110SFDFQ.pdf"/>
    <hyperlink ref="C1266" r:id="rId_hyperlink_2530" tooltip="DMP6110SFDFQ" display="DMP6110SFDFQ"/>
    <hyperlink ref="B1267" r:id="rId_hyperlink_2531" tooltip="https://www.diodes.com/datasheet/download/DMP6110SSD.pdf" display="https://www.diodes.com/datasheet/download/DMP6110SSD.pdf"/>
    <hyperlink ref="C1267" r:id="rId_hyperlink_2532" tooltip="DMP6110SSD" display="DMP6110SSD"/>
    <hyperlink ref="B1268" r:id="rId_hyperlink_2533" tooltip="https://www.diodes.com/datasheet/download/DMP6110SSDQ.pdf" display="https://www.diodes.com/datasheet/download/DMP6110SSDQ.pdf"/>
    <hyperlink ref="C1268" r:id="rId_hyperlink_2534" tooltip="DMP6110SSDQ" display="DMP6110SSDQ"/>
    <hyperlink ref="B1269" r:id="rId_hyperlink_2535" tooltip="https://www.diodes.com/datasheet/download/DMP6110SSS.pdf" display="https://www.diodes.com/datasheet/download/DMP6110SSS.pdf"/>
    <hyperlink ref="C1269" r:id="rId_hyperlink_2536" tooltip="DMP6110SSS" display="DMP6110SSS"/>
    <hyperlink ref="B1270" r:id="rId_hyperlink_2537" tooltip="https://www.diodes.com/datasheet/download/DMP6110SSSQ.pdf" display="https://www.diodes.com/datasheet/download/DMP6110SSSQ.pdf"/>
    <hyperlink ref="C1270" r:id="rId_hyperlink_2538" tooltip="DMP6110SSSQ" display="DMP6110SSSQ"/>
    <hyperlink ref="B1271" r:id="rId_hyperlink_2539" tooltip="https://www.diodes.com/datasheet/download/DMP6110SVT.pdf" display="https://www.diodes.com/datasheet/download/DMP6110SVT.pdf"/>
    <hyperlink ref="C1271" r:id="rId_hyperlink_2540" tooltip="DMP6110SVT" display="DMP6110SVT"/>
    <hyperlink ref="B1272" r:id="rId_hyperlink_2541" tooltip="https://www.diodes.com/datasheet/download/DMP6110SVTQ.pdf" display="https://www.diodes.com/datasheet/download/DMP6110SVTQ.pdf"/>
    <hyperlink ref="C1272" r:id="rId_hyperlink_2542" tooltip="DMP6110SVTQ" display="DMP6110SVTQ"/>
    <hyperlink ref="B1273" r:id="rId_hyperlink_2543" tooltip="https://www.diodes.com/datasheet/download/DMP6111SVT.pdf" display="https://www.diodes.com/datasheet/download/DMP6111SVT.pdf"/>
    <hyperlink ref="C1273" r:id="rId_hyperlink_2544" tooltip="DMP6111SVT" display="DMP6111SVT"/>
    <hyperlink ref="B1274" r:id="rId_hyperlink_2545" tooltip="https://www.diodes.com/datasheet/download/DMP6111SVTQ.pdf" display="https://www.diodes.com/datasheet/download/DMP6111SVTQ.pdf"/>
    <hyperlink ref="C1274" r:id="rId_hyperlink_2546" tooltip="DMP6111SVTQ" display="DMP6111SVTQ"/>
    <hyperlink ref="B1275" r:id="rId_hyperlink_2547" tooltip="https://www.diodes.com/datasheet/download/DMP6180SK3.pdf" display="https://www.diodes.com/datasheet/download/DMP6180SK3.pdf"/>
    <hyperlink ref="C1275" r:id="rId_hyperlink_2548" tooltip="DMP6180SK3" display="DMP6180SK3"/>
    <hyperlink ref="B1276" r:id="rId_hyperlink_2549" tooltip="https://www.diodes.com/datasheet/download/DMP6180SK3Q.pdf" display="https://www.diodes.com/datasheet/download/DMP6180SK3Q.pdf"/>
    <hyperlink ref="C1276" r:id="rId_hyperlink_2550" tooltip="DMP6180SK3Q" display="DMP6180SK3Q"/>
    <hyperlink ref="B1277" r:id="rId_hyperlink_2551" tooltip="https://www.diodes.com/datasheet/download/DMP6185SE.pdf" display="https://www.diodes.com/datasheet/download/DMP6185SE.pdf"/>
    <hyperlink ref="C1277" r:id="rId_hyperlink_2552" tooltip="DMP6185SE" display="DMP6185SE"/>
    <hyperlink ref="B1278" r:id="rId_hyperlink_2553" tooltip="https://www.diodes.com/datasheet/download/DMP6185SEQ.pdf" display="https://www.diodes.com/datasheet/download/DMP6185SEQ.pdf"/>
    <hyperlink ref="C1278" r:id="rId_hyperlink_2554" tooltip="DMP6185SEQ" display="DMP6185SEQ"/>
    <hyperlink ref="B1279" r:id="rId_hyperlink_2555" tooltip="https://www.diodes.com/datasheet/download/DMP6185SK3.pdf" display="https://www.diodes.com/datasheet/download/DMP6185SK3.pdf"/>
    <hyperlink ref="C1279" r:id="rId_hyperlink_2556" tooltip="DMP6185SK3" display="DMP6185SK3"/>
    <hyperlink ref="B1280" r:id="rId_hyperlink_2557" tooltip="https://www.diodes.com/datasheet/download/DMP6250SE.pdf" display="https://www.diodes.com/datasheet/download/DMP6250SE.pdf"/>
    <hyperlink ref="C1280" r:id="rId_hyperlink_2558" tooltip="DMP6250SE" display="DMP6250SE"/>
    <hyperlink ref="B1281" r:id="rId_hyperlink_2559" tooltip="https://www.diodes.com/datasheet/download/DMP6250SEQ.pdf" display="https://www.diodes.com/datasheet/download/DMP6250SEQ.pdf"/>
    <hyperlink ref="C1281" r:id="rId_hyperlink_2560" tooltip="DMP6250SEQ" display="DMP6250SEQ"/>
    <hyperlink ref="B1282" r:id="rId_hyperlink_2561" tooltip="https://www.diodes.com/datasheet/download/DMP6250SFDF.pdf" display="https://www.diodes.com/datasheet/download/DMP6250SFDF.pdf"/>
    <hyperlink ref="C1282" r:id="rId_hyperlink_2562" tooltip="DMP6250SFDF" display="DMP6250SFDF"/>
    <hyperlink ref="B1283" r:id="rId_hyperlink_2563" tooltip="https://www.diodes.com/datasheet/download/DMP6350S.pdf" display="https://www.diodes.com/datasheet/download/DMP6350S.pdf"/>
    <hyperlink ref="C1283" r:id="rId_hyperlink_2564" tooltip="DMP6350S" display="DMP6350S"/>
    <hyperlink ref="B1284" r:id="rId_hyperlink_2565" tooltip="https://www.diodes.com/datasheet/download/DMP6350SQ.pdf" display="https://www.diodes.com/datasheet/download/DMP6350SQ.pdf"/>
    <hyperlink ref="C1284" r:id="rId_hyperlink_2566" tooltip="DMP6350SQ" display="DMP6350SQ"/>
    <hyperlink ref="B1285" r:id="rId_hyperlink_2567" tooltip="https://www.diodes.com/datasheet/download/DMP65H11D0HSS.pdf" display="https://www.diodes.com/datasheet/download/DMP65H11D0HSS.pdf"/>
    <hyperlink ref="C1285" r:id="rId_hyperlink_2568" tooltip="DMP65H11D0HSS" display="DMP65H11D0HSS"/>
    <hyperlink ref="B1286" r:id="rId_hyperlink_2569" tooltip="https://www.diodes.com/datasheet/download/DMP65H13D0HSS.pdf" display="https://www.diodes.com/datasheet/download/DMP65H13D0HSS.pdf"/>
    <hyperlink ref="C1286" r:id="rId_hyperlink_2570" tooltip="DMP65H13D0HSS" display="DMP65H13D0HSS"/>
    <hyperlink ref="B1287" r:id="rId_hyperlink_2571" tooltip="https://www.diodes.com/datasheet/download/DMP65H20D0HSS.pdf" display="https://www.diodes.com/datasheet/download/DMP65H20D0HSS.pdf"/>
    <hyperlink ref="C1287" r:id="rId_hyperlink_2572" tooltip="DMP65H20D0HSS" display="DMP65H20D0HSS"/>
    <hyperlink ref="B1288" r:id="rId_hyperlink_2573" tooltip="https://www.diodes.com/datasheet/download/DMP65H9D0HSS.pdf" display="https://www.diodes.com/datasheet/download/DMP65H9D0HSS.pdf"/>
    <hyperlink ref="C1288" r:id="rId_hyperlink_2574" tooltip="DMP65H9D0HSS" display="DMP65H9D0HSS"/>
    <hyperlink ref="B1289" r:id="rId_hyperlink_2575" tooltip="https://www.diodes.com/datasheet/download/DMP68D0LFB.pdf" display="https://www.diodes.com/datasheet/download/DMP68D0LFB.pdf"/>
    <hyperlink ref="C1289" r:id="rId_hyperlink_2576" tooltip="DMP68D0LFB" display="DMP68D0LFB"/>
    <hyperlink ref="B1290" r:id="rId_hyperlink_2577" tooltip="https://www.diodes.com/datasheet/download/DMP68D1L.pdf" display="https://www.diodes.com/datasheet/download/DMP68D1L.pdf"/>
    <hyperlink ref="C1290" r:id="rId_hyperlink_2578" tooltip="DMP68D1L" display="DMP68D1L"/>
    <hyperlink ref="B1291" r:id="rId_hyperlink_2579" tooltip="https://www.diodes.com/datasheet/download/DMP68D1LFB.pdf" display="https://www.diodes.com/datasheet/download/DMP68D1LFB.pdf"/>
    <hyperlink ref="C1291" r:id="rId_hyperlink_2580" tooltip="DMP68D1LFB" display="DMP68D1LFB"/>
    <hyperlink ref="B1292" r:id="rId_hyperlink_2581" tooltip="https://www.diodes.com/datasheet/download/DMP68D1LQ.pdf" display="https://www.diodes.com/datasheet/download/DMP68D1LQ.pdf"/>
    <hyperlink ref="C1292" r:id="rId_hyperlink_2582" tooltip="DMP68D1LQ" display="DMP68D1LQ"/>
    <hyperlink ref="B1293" r:id="rId_hyperlink_2583" tooltip="https://www.diodes.com/datasheet/download/DMP68D1LV.pdf" display="https://www.diodes.com/datasheet/download/DMP68D1LV.pdf"/>
    <hyperlink ref="C1293" r:id="rId_hyperlink_2584" tooltip="DMP68D1LV" display="DMP68D1LV"/>
    <hyperlink ref="B1294" r:id="rId_hyperlink_2585" tooltip="https://www.diodes.com/datasheet/download/DMP68D1LVQ.pdf" display="https://www.diodes.com/datasheet/download/DMP68D1LVQ.pdf"/>
    <hyperlink ref="C1294" r:id="rId_hyperlink_2586" tooltip="DMP68D1LVQ" display="DMP68D1LVQ"/>
    <hyperlink ref="B1295" r:id="rId_hyperlink_2587" tooltip="https://www.diodes.com/datasheet/download/DMPH1006UPS.pdf" display="https://www.diodes.com/datasheet/download/DMPH1006UPS.pdf"/>
    <hyperlink ref="C1295" r:id="rId_hyperlink_2588" tooltip="DMPH1006UPS" display="DMPH1006UPS"/>
    <hyperlink ref="B1296" r:id="rId_hyperlink_2589" tooltip="https://www.diodes.com/datasheet/download/DMPH1006UPSQ.pdf" display="https://www.diodes.com/datasheet/download/DMPH1006UPSQ.pdf"/>
    <hyperlink ref="C1296" r:id="rId_hyperlink_2590" tooltip="DMPH1006UPSQ" display="DMPH1006UPSQ"/>
    <hyperlink ref="B1297" r:id="rId_hyperlink_2591" tooltip="https://www.diodes.com/datasheet/download/DMPH16M1UPSW.pdf" display="https://www.diodes.com/datasheet/download/DMPH16M1UPSW.pdf"/>
    <hyperlink ref="C1297" r:id="rId_hyperlink_2592" tooltip="DMPH16M1UPSW" display="DMPH16M1UPSW"/>
    <hyperlink ref="B1298" r:id="rId_hyperlink_2593" tooltip="https://www.diodes.com/datasheet/download/DMPH2040UVTQ.pdf" display="https://www.diodes.com/datasheet/download/DMPH2040UVTQ.pdf"/>
    <hyperlink ref="C1298" r:id="rId_hyperlink_2594" tooltip="DMPH2040UVTQ" display="DMPH2040UVTQ"/>
    <hyperlink ref="B1299" r:id="rId_hyperlink_2595" tooltip="https://www.diodes.com/datasheet/download/DMPH3010LK3.pdf" display="https://www.diodes.com/datasheet/download/DMPH3010LK3.pdf"/>
    <hyperlink ref="C1299" r:id="rId_hyperlink_2596" tooltip="DMPH3010LK3" display="DMPH3010LK3"/>
    <hyperlink ref="B1300" r:id="rId_hyperlink_2597" tooltip="https://www.diodes.com/datasheet/download/DMPH3010LK3Q.pdf" display="https://www.diodes.com/datasheet/download/DMPH3010LK3Q.pdf"/>
    <hyperlink ref="C1300" r:id="rId_hyperlink_2598" tooltip="DMPH3010LK3Q" display="DMPH3010LK3Q"/>
    <hyperlink ref="B1301" r:id="rId_hyperlink_2599" tooltip="https://www.diodes.com/datasheet/download/DMPH3010LPS.pdf" display="https://www.diodes.com/datasheet/download/DMPH3010LPS.pdf"/>
    <hyperlink ref="C1301" r:id="rId_hyperlink_2600" tooltip="DMPH3010LPS" display="DMPH3010LPS"/>
    <hyperlink ref="B1302" r:id="rId_hyperlink_2601" tooltip="https://www.diodes.com/datasheet/download/DMPH3010LPSQ.pdf" display="https://www.diodes.com/datasheet/download/DMPH3010LPSQ.pdf"/>
    <hyperlink ref="C1302" r:id="rId_hyperlink_2602" tooltip="DMPH3010LPSQ" display="DMPH3010LPSQ"/>
    <hyperlink ref="B1303" r:id="rId_hyperlink_2603" tooltip="https://www.diodes.com/datasheet/download/DMPH33M8SPSW.pdf" display="https://www.diodes.com/datasheet/download/DMPH33M8SPSW.pdf"/>
    <hyperlink ref="C1303" r:id="rId_hyperlink_2604" tooltip="DMPH33M8SPSW" display="DMPH33M8SPSW"/>
    <hyperlink ref="B1304" r:id="rId_hyperlink_2605" tooltip="https://www.diodes.com/datasheet/download/DMPH33M8SPSWQ.pdf" display="https://www.diodes.com/datasheet/download/DMPH33M8SPSWQ.pdf"/>
    <hyperlink ref="C1304" r:id="rId_hyperlink_2606" tooltip="DMPH33M8SPSWQ" display="DMPH33M8SPSWQ"/>
    <hyperlink ref="B1305" r:id="rId_hyperlink_2607" tooltip="https://www.diodes.com/datasheet/download/DMPH4009SPSW.pdf" display="https://www.diodes.com/datasheet/download/DMPH4009SPSW.pdf"/>
    <hyperlink ref="C1305" r:id="rId_hyperlink_2608" tooltip="DMPH4009SPSW" display="DMPH4009SPSW"/>
    <hyperlink ref="B1306" r:id="rId_hyperlink_2609" tooltip="https://www.diodes.com/datasheet/download/DMPH4009SPSWQ.pdf" display="https://www.diodes.com/datasheet/download/DMPH4009SPSWQ.pdf"/>
    <hyperlink ref="C1306" r:id="rId_hyperlink_2610" tooltip="DMPH4009SPSWQ" display="DMPH4009SPSWQ"/>
    <hyperlink ref="B1307" r:id="rId_hyperlink_2611" tooltip="https://www.diodes.com/datasheet/download/DMPH4009SSS.pdf" display="https://www.diodes.com/datasheet/download/DMPH4009SSS.pdf"/>
    <hyperlink ref="C1307" r:id="rId_hyperlink_2612" tooltip="DMPH4009SSS" display="DMPH4009SSS"/>
    <hyperlink ref="B1308" r:id="rId_hyperlink_2613" tooltip="https://www.diodes.com/datasheet/download/DMPH4009SSSQ.pdf" display="https://www.diodes.com/datasheet/download/DMPH4009SSSQ.pdf"/>
    <hyperlink ref="C1308" r:id="rId_hyperlink_2614" tooltip="DMPH4009SSSQ" display="DMPH4009SSSQ"/>
    <hyperlink ref="B1309" r:id="rId_hyperlink_2615" tooltip="https://www.diodes.com/datasheet/download/DMPH4011SK3.pdf" display="https://www.diodes.com/datasheet/download/DMPH4011SK3.pdf"/>
    <hyperlink ref="C1309" r:id="rId_hyperlink_2616" tooltip="DMPH4011SK3" display="DMPH4011SK3"/>
    <hyperlink ref="B1310" r:id="rId_hyperlink_2617" tooltip="https://www.diodes.com/datasheet/download/DMPH4011SK3Q.pdf" display="https://www.diodes.com/datasheet/download/DMPH4011SK3Q.pdf"/>
    <hyperlink ref="C1310" r:id="rId_hyperlink_2618" tooltip="DMPH4011SK3Q" display="DMPH4011SK3Q"/>
    <hyperlink ref="B1311" r:id="rId_hyperlink_2619" tooltip="https://www.diodes.com/datasheet/download/DMPH4013SK3.pdf" display="https://www.diodes.com/datasheet/download/DMPH4013SK3.pdf"/>
    <hyperlink ref="C1311" r:id="rId_hyperlink_2620" tooltip="DMPH4013SK3" display="DMPH4013SK3"/>
    <hyperlink ref="B1312" r:id="rId_hyperlink_2621" tooltip="https://www.diodes.com/datasheet/download/DMPH4013SK3Q.pdf" display="https://www.diodes.com/datasheet/download/DMPH4013SK3Q.pdf"/>
    <hyperlink ref="C1312" r:id="rId_hyperlink_2622" tooltip="DMPH4013SK3Q" display="DMPH4013SK3Q"/>
    <hyperlink ref="B1313" r:id="rId_hyperlink_2623" tooltip="https://www.diodes.com/datasheet/download/DMPH4013SPSQ.pdf" display="https://www.diodes.com/datasheet/download/DMPH4013SPSQ.pdf"/>
    <hyperlink ref="C1313" r:id="rId_hyperlink_2624" tooltip="DMPH4013SPSQ" display="DMPH4013SPSQ"/>
    <hyperlink ref="B1314" r:id="rId_hyperlink_2625" tooltip="https://www.diodes.com/datasheet/download/DMPH4013SPSW.pdf" display="https://www.diodes.com/datasheet/download/DMPH4013SPSW.pdf"/>
    <hyperlink ref="C1314" r:id="rId_hyperlink_2626" tooltip="DMPH4013SPSW" display="DMPH4013SPSW"/>
    <hyperlink ref="B1315" r:id="rId_hyperlink_2627" tooltip="https://www.diodes.com/datasheet/download/DMPH4013SPSWQ.pdf" display="https://www.diodes.com/datasheet/download/DMPH4013SPSWQ.pdf"/>
    <hyperlink ref="C1315" r:id="rId_hyperlink_2628" tooltip="DMPH4013SPSWQ" display="DMPH4013SPSWQ"/>
    <hyperlink ref="B1316" r:id="rId_hyperlink_2629" tooltip="https://www.diodes.com/datasheet/download/DMPH4015SK3Q.pdf" display="https://www.diodes.com/datasheet/download/DMPH4015SK3Q.pdf"/>
    <hyperlink ref="C1316" r:id="rId_hyperlink_2630" tooltip="DMPH4015SK3Q" display="DMPH4015SK3Q"/>
    <hyperlink ref="B1317" r:id="rId_hyperlink_2631" tooltip="https://www.diodes.com/datasheet/download/DMPH4015SPSQ.pdf" display="https://www.diodes.com/datasheet/download/DMPH4015SPSQ.pdf"/>
    <hyperlink ref="C1317" r:id="rId_hyperlink_2632" tooltip="DMPH4015SPSQ" display="DMPH4015SPSQ"/>
    <hyperlink ref="B1318" r:id="rId_hyperlink_2633" tooltip="https://www.diodes.com/datasheet/download/DMPH4015SPSWQ.pdf" display="https://www.diodes.com/datasheet/download/DMPH4015SPSWQ.pdf"/>
    <hyperlink ref="C1318" r:id="rId_hyperlink_2634" tooltip="DMPH4015SPSWQ" display="DMPH4015SPSWQ"/>
    <hyperlink ref="B1319" r:id="rId_hyperlink_2635" tooltip="https://www.diodes.com/datasheet/download/DMPH4015SSSQ.pdf" display="https://www.diodes.com/datasheet/download/DMPH4015SSSQ.pdf"/>
    <hyperlink ref="C1319" r:id="rId_hyperlink_2636" tooltip="DMPH4015SSSQ" display="DMPH4015SSSQ"/>
    <hyperlink ref="B1320" r:id="rId_hyperlink_2637" tooltip="https://www.diodes.com/datasheet/download/DMPH4016SK3.pdf" display="https://www.diodes.com/datasheet/download/DMPH4016SK3.pdf"/>
    <hyperlink ref="C1320" r:id="rId_hyperlink_2638" tooltip="DMPH4016SK3" display="DMPH4016SK3"/>
    <hyperlink ref="B1321" r:id="rId_hyperlink_2639" tooltip="https://www.diodes.com/datasheet/download/DMPH4016SK3Q.pdf" display="https://www.diodes.com/datasheet/download/DMPH4016SK3Q.pdf"/>
    <hyperlink ref="C1321" r:id="rId_hyperlink_2640" tooltip="DMPH4016SK3Q" display="DMPH4016SK3Q"/>
    <hyperlink ref="B1322" r:id="rId_hyperlink_2641" tooltip="https://www.diodes.com/datasheet/download/DMPH4016SPSW.pdf" display="https://www.diodes.com/datasheet/download/DMPH4016SPSW.pdf"/>
    <hyperlink ref="C1322" r:id="rId_hyperlink_2642" tooltip="DMPH4016SPSW" display="DMPH4016SPSW"/>
    <hyperlink ref="B1323" r:id="rId_hyperlink_2643" tooltip="https://www.diodes.com/datasheet/download/DMPH4016SPSWQ.pdf" display="https://www.diodes.com/datasheet/download/DMPH4016SPSWQ.pdf"/>
    <hyperlink ref="C1323" r:id="rId_hyperlink_2644" tooltip="DMPH4016SPSWQ" display="DMPH4016SPSWQ"/>
    <hyperlink ref="B1324" r:id="rId_hyperlink_2645" tooltip="https://www.diodes.com/datasheet/download/DMPH4016SSS.pdf" display="https://www.diodes.com/datasheet/download/DMPH4016SSS.pdf"/>
    <hyperlink ref="C1324" r:id="rId_hyperlink_2646" tooltip="DMPH4016SSS" display="DMPH4016SSS"/>
    <hyperlink ref="B1325" r:id="rId_hyperlink_2647" tooltip="https://www.diodes.com/datasheet/download/DMPH4016SSSQ.pdf" display="https://www.diodes.com/datasheet/download/DMPH4016SSSQ.pdf"/>
    <hyperlink ref="C1325" r:id="rId_hyperlink_2648" tooltip="DMPH4016SSSQ" display="DMPH4016SSSQ"/>
    <hyperlink ref="B1326" r:id="rId_hyperlink_2649" tooltip="https://www.diodes.com/datasheet/download/DMPH4023SK3.pdf" display="https://www.diodes.com/datasheet/download/DMPH4023SK3.pdf"/>
    <hyperlink ref="C1326" r:id="rId_hyperlink_2650" tooltip="DMPH4023SK3" display="DMPH4023SK3"/>
    <hyperlink ref="B1327" r:id="rId_hyperlink_2651" tooltip="https://www.diodes.com/datasheet/download/DMPH4023SK3Q.pdf" display="https://www.diodes.com/datasheet/download/DMPH4023SK3Q.pdf"/>
    <hyperlink ref="C1327" r:id="rId_hyperlink_2652" tooltip="DMPH4023SK3Q" display="DMPH4023SK3Q"/>
    <hyperlink ref="B1328" r:id="rId_hyperlink_2653" tooltip="https://www.diodes.com/datasheet/download/DMPH4023SPDWQ.pdf" display="https://www.diodes.com/datasheet/download/DMPH4023SPDWQ.pdf"/>
    <hyperlink ref="C1328" r:id="rId_hyperlink_2654" tooltip="DMPH4023SPDWQ" display="DMPH4023SPDWQ"/>
    <hyperlink ref="B1329" r:id="rId_hyperlink_2655" tooltip="https://www.diodes.com/datasheet/download/DMPH4025SFVWQ.pdf" display="https://www.diodes.com/datasheet/download/DMPH4025SFVWQ.pdf"/>
    <hyperlink ref="C1329" r:id="rId_hyperlink_2656" tooltip="DMPH4025SFVWQ" display="DMPH4025SFVWQ"/>
    <hyperlink ref="B1330" r:id="rId_hyperlink_2657" tooltip="https://www.diodes.com/datasheet/download/DMPH4026SFVW.pdf" display="https://www.diodes.com/datasheet/download/DMPH4026SFVW.pdf"/>
    <hyperlink ref="C1330" r:id="rId_hyperlink_2658" tooltip="DMPH4026SFVW" display="DMPH4026SFVW"/>
    <hyperlink ref="B1331" r:id="rId_hyperlink_2659" tooltip="https://www.diodes.com/datasheet/download/DMPH4026SFVWQ.pdf" display="https://www.diodes.com/datasheet/download/DMPH4026SFVWQ.pdf"/>
    <hyperlink ref="C1331" r:id="rId_hyperlink_2660" tooltip="DMPH4026SFVWQ" display="DMPH4026SFVWQ"/>
    <hyperlink ref="B1332" r:id="rId_hyperlink_2661" tooltip="https://www.diodes.com/datasheet/download/DMPH4029LFG.pdf" display="https://www.diodes.com/datasheet/download/DMPH4029LFG.pdf"/>
    <hyperlink ref="C1332" r:id="rId_hyperlink_2662" tooltip="DMPH4029LFG" display="DMPH4029LFG"/>
    <hyperlink ref="B1333" r:id="rId_hyperlink_2663" tooltip="https://www.diodes.com/datasheet/download/DMPH4029LFGQ.pdf" display="https://www.diodes.com/datasheet/download/DMPH4029LFGQ.pdf"/>
    <hyperlink ref="C1333" r:id="rId_hyperlink_2664" tooltip="DMPH4029LFGQ" display="DMPH4029LFGQ"/>
    <hyperlink ref="B1334" r:id="rId_hyperlink_2665" tooltip="https://www.diodes.com/datasheet/download/DMPH6023SK3.pdf" display="https://www.diodes.com/datasheet/download/DMPH6023SK3.pdf"/>
    <hyperlink ref="C1334" r:id="rId_hyperlink_2666" tooltip="DMPH6023SK3" display="DMPH6023SK3"/>
    <hyperlink ref="B1335" r:id="rId_hyperlink_2667" tooltip="https://www.diodes.com/datasheet/download/DMPH6023SK3Q.pdf" display="https://www.diodes.com/datasheet/download/DMPH6023SK3Q.pdf"/>
    <hyperlink ref="C1335" r:id="rId_hyperlink_2668" tooltip="DMPH6023SK3Q" display="DMPH6023SK3Q"/>
    <hyperlink ref="B1336" r:id="rId_hyperlink_2669" tooltip="https://www.diodes.com/datasheet/download/DMPH6050SFGQ.pdf" display="https://www.diodes.com/datasheet/download/DMPH6050SFGQ.pdf"/>
    <hyperlink ref="C1336" r:id="rId_hyperlink_2670" tooltip="DMPH6050SFGQ" display="DMPH6050SFGQ"/>
    <hyperlink ref="B1337" r:id="rId_hyperlink_2671" tooltip="https://www.diodes.com/datasheet/download/DMPH6050SK3.pdf" display="https://www.diodes.com/datasheet/download/DMPH6050SK3.pdf"/>
    <hyperlink ref="C1337" r:id="rId_hyperlink_2672" tooltip="DMPH6050SK3" display="DMPH6050SK3"/>
    <hyperlink ref="B1338" r:id="rId_hyperlink_2673" tooltip="https://www.diodes.com/datasheet/download/DMPH6050SK3Q.pdf" display="https://www.diodes.com/datasheet/download/DMPH6050SK3Q.pdf"/>
    <hyperlink ref="C1338" r:id="rId_hyperlink_2674" tooltip="DMPH6050SK3Q" display="DMPH6050SK3Q"/>
    <hyperlink ref="B1339" r:id="rId_hyperlink_2675" tooltip="https://www.diodes.com/datasheet/download/DMPH6050SPD.pdf" display="https://www.diodes.com/datasheet/download/DMPH6050SPD.pdf"/>
    <hyperlink ref="C1339" r:id="rId_hyperlink_2676" tooltip="DMPH6050SPD" display="DMPH6050SPD"/>
    <hyperlink ref="B1340" r:id="rId_hyperlink_2677" tooltip="https://www.diodes.com/datasheet/download/DMPH6050SPDQ.pdf" display="https://www.diodes.com/datasheet/download/DMPH6050SPDQ.pdf"/>
    <hyperlink ref="C1340" r:id="rId_hyperlink_2678" tooltip="DMPH6050SPDQ" display="DMPH6050SPDQ"/>
    <hyperlink ref="B1341" r:id="rId_hyperlink_2679" tooltip="https://www.diodes.com/datasheet/download/DMPH6050SPDW.pdf" display="https://www.diodes.com/datasheet/download/DMPH6050SPDW.pdf"/>
    <hyperlink ref="C1341" r:id="rId_hyperlink_2680" tooltip="DMPH6050SPDW" display="DMPH6050SPDW"/>
    <hyperlink ref="B1342" r:id="rId_hyperlink_2681" tooltip="https://www.diodes.com/datasheet/download/DMPH6050SPDWQ.pdf" display="https://www.diodes.com/datasheet/download/DMPH6050SPDWQ.pdf"/>
    <hyperlink ref="C1342" r:id="rId_hyperlink_2682" tooltip="DMPH6050SPDWQ" display="DMPH6050SPDWQ"/>
    <hyperlink ref="B1343" r:id="rId_hyperlink_2683" tooltip="https://www.diodes.com/datasheet/download/DMPH6050SSD.pdf" display="https://www.diodes.com/datasheet/download/DMPH6050SSD.pdf"/>
    <hyperlink ref="C1343" r:id="rId_hyperlink_2684" tooltip="DMPH6050SSD" display="DMPH6050SSD"/>
    <hyperlink ref="B1344" r:id="rId_hyperlink_2685" tooltip="https://www.diodes.com/datasheet/download/DMPH6050SSDQ.pdf" display="https://www.diodes.com/datasheet/download/DMPH6050SSDQ.pdf"/>
    <hyperlink ref="C1344" r:id="rId_hyperlink_2686" tooltip="DMPH6050SSDQ" display="DMPH6050SSDQ"/>
    <hyperlink ref="B1345" r:id="rId_hyperlink_2687" tooltip="https://www.diodes.com/datasheet/download/DMPH6051SFVW.pdf" display="https://www.diodes.com/datasheet/download/DMPH6051SFVW.pdf"/>
    <hyperlink ref="C1345" r:id="rId_hyperlink_2688" tooltip="DMPH6051SFVW" display="DMPH6051SFVW"/>
    <hyperlink ref="B1346" r:id="rId_hyperlink_2689" tooltip="https://www.diodes.com/datasheet/download/DMPH6051SFVWQ.pdf" display="https://www.diodes.com/datasheet/download/DMPH6051SFVWQ.pdf"/>
    <hyperlink ref="C1346" r:id="rId_hyperlink_2690" tooltip="DMPH6051SFVWQ" display="DMPH6051SFVWQ"/>
    <hyperlink ref="B1347" r:id="rId_hyperlink_2691" tooltip="https://www.diodes.com/datasheet/download/DMPH6051SSD.pdf" display="https://www.diodes.com/datasheet/download/DMPH6051SSD.pdf"/>
    <hyperlink ref="C1347" r:id="rId_hyperlink_2692" tooltip="DMPH6051SSD" display="DMPH6051SSD"/>
    <hyperlink ref="B1348" r:id="rId_hyperlink_2693" tooltip="https://www.diodes.com/datasheet/download/DMPH6051SSDQ.pdf" display="https://www.diodes.com/datasheet/download/DMPH6051SSDQ.pdf"/>
    <hyperlink ref="C1348" r:id="rId_hyperlink_2694" tooltip="DMPH6051SSDQ" display="DMPH6051SSDQ"/>
    <hyperlink ref="B1349" r:id="rId_hyperlink_2695" tooltip="https://www.diodes.com/datasheet/download/DMPH6051SSS.pdf" display="https://www.diodes.com/datasheet/download/DMPH6051SSS.pdf"/>
    <hyperlink ref="C1349" r:id="rId_hyperlink_2696" tooltip="DMPH6051SSS" display="DMPH6051SSS"/>
    <hyperlink ref="B1350" r:id="rId_hyperlink_2697" tooltip="https://www.diodes.com/datasheet/download/DMPH6051SSSQ.pdf" display="https://www.diodes.com/datasheet/download/DMPH6051SSSQ.pdf"/>
    <hyperlink ref="C1350" r:id="rId_hyperlink_2698" tooltip="DMPH6051SSSQ" display="DMPH6051SSSQ"/>
    <hyperlink ref="B1351" r:id="rId_hyperlink_2699" tooltip="https://www.diodes.com/datasheet/download/DMPH6250S.pdf" display="https://www.diodes.com/datasheet/download/DMPH6250S.pdf"/>
    <hyperlink ref="C1351" r:id="rId_hyperlink_2700" tooltip="DMPH6250S" display="DMPH6250S"/>
    <hyperlink ref="B1352" r:id="rId_hyperlink_2701" tooltip="https://www.diodes.com/datasheet/download/DMPH6250SQ.pdf" display="https://www.diodes.com/datasheet/download/DMPH6250SQ.pdf"/>
    <hyperlink ref="C1352" r:id="rId_hyperlink_2702" tooltip="DMPH6250SQ" display="DMPH6250SQ"/>
    <hyperlink ref="B1353" r:id="rId_hyperlink_2703" tooltip="https://www.diodes.com/datasheet/download/DMS2085LSD.pdf" display="https://www.diodes.com/datasheet/download/DMS2085LSD.pdf"/>
    <hyperlink ref="C1353" r:id="rId_hyperlink_2704" tooltip="DMS2085LSD" display="DMS2085LSD"/>
    <hyperlink ref="B1354" r:id="rId_hyperlink_2705" tooltip="https://www.diodes.com/datasheet/download/DMS2095LFDB.pdf" display="https://www.diodes.com/datasheet/download/DMS2095LFDB.pdf"/>
    <hyperlink ref="C1354" r:id="rId_hyperlink_2706" tooltip="DMS2095LFDB" display="DMS2095LFDB"/>
    <hyperlink ref="B1355" r:id="rId_hyperlink_2707" tooltip="https://www.diodes.com/datasheet/download/DMS2120LFWB.pdf" display="https://www.diodes.com/datasheet/download/DMS2120LFWB.pdf"/>
    <hyperlink ref="C1355" r:id="rId_hyperlink_2708" tooltip="DMS2120LFWB" display="DMS2120LFWB"/>
    <hyperlink ref="B1356" r:id="rId_hyperlink_2709" tooltip="https://www.diodes.com/datasheet/download/DMS2220LFDB.pdf" display="https://www.diodes.com/datasheet/download/DMS2220LFDB.pdf"/>
    <hyperlink ref="C1356" r:id="rId_hyperlink_2710" tooltip="DMS2220LFDB" display="DMS2220LFDB"/>
    <hyperlink ref="B1357" r:id="rId_hyperlink_2711" tooltip="https://www.diodes.com/datasheet/download/DMS3014SFGQ.pdf" display="https://www.diodes.com/datasheet/download/DMS3014SFGQ.pdf"/>
    <hyperlink ref="C1357" r:id="rId_hyperlink_2712" tooltip="DMS3014SFGQ" display="DMS3014SFGQ"/>
    <hyperlink ref="B1358" r:id="rId_hyperlink_2713" tooltip="https://www.diodes.com/datasheet/download/DMT10H003SPSW.pdf" display="https://www.diodes.com/datasheet/download/DMT10H003SPSW.pdf"/>
    <hyperlink ref="C1358" r:id="rId_hyperlink_2714" tooltip="DMT10H003SPSW" display="DMT10H003SPSW"/>
    <hyperlink ref="B1359" r:id="rId_hyperlink_2715" tooltip="https://www.diodes.com/datasheet/download/DMT10H009LCG.pdf" display="https://www.diodes.com/datasheet/download/DMT10H009LCG.pdf"/>
    <hyperlink ref="C1359" r:id="rId_hyperlink_2716" tooltip="DMT10H009LCG" display="DMT10H009LCG"/>
    <hyperlink ref="B1360" r:id="rId_hyperlink_2717" tooltip="https://www.diodes.com/datasheet/download/DMT10H009LFG+.pdf" display="https://www.diodes.com/datasheet/download/DMT10H009LFG+.pdf"/>
    <hyperlink ref="C1360" r:id="rId_hyperlink_2718" tooltip="DMT10H009LFG" display="DMT10H009LFG"/>
    <hyperlink ref="B1361" r:id="rId_hyperlink_2719" tooltip="https://www.diodes.com/datasheet/download/DMT10H009LH3.pdf" display="https://www.diodes.com/datasheet/download/DMT10H009LH3.pdf"/>
    <hyperlink ref="C1361" r:id="rId_hyperlink_2720" tooltip="DMT10H009LH3" display="DMT10H009LH3"/>
    <hyperlink ref="B1362" r:id="rId_hyperlink_2721" tooltip="https://www.diodes.com/datasheet/download/DMT10H009LK3.pdf" display="https://www.diodes.com/datasheet/download/DMT10H009LK3.pdf"/>
    <hyperlink ref="C1362" r:id="rId_hyperlink_2722" tooltip="DMT10H009LK3" display="DMT10H009LK3"/>
    <hyperlink ref="B1363" r:id="rId_hyperlink_2723" tooltip="https://www.diodes.com/datasheet/download/DMT10H009LPS.pdf" display="https://www.diodes.com/datasheet/download/DMT10H009LPS.pdf"/>
    <hyperlink ref="C1363" r:id="rId_hyperlink_2724" tooltip="DMT10H009LPS" display="DMT10H009LPS"/>
    <hyperlink ref="B1364" r:id="rId_hyperlink_2725" tooltip="https://www.diodes.com/datasheet/download/DMT10H009LSS.pdf" display="https://www.diodes.com/datasheet/download/DMT10H009LSS.pdf"/>
    <hyperlink ref="C1364" r:id="rId_hyperlink_2726" tooltip="DMT10H009LSS" display="DMT10H009LSS"/>
    <hyperlink ref="B1365" r:id="rId_hyperlink_2727" tooltip="https://www.diodes.com/datasheet/download/DMT10H009LSSQ.pdf" display="https://www.diodes.com/datasheet/download/DMT10H009LSSQ.pdf"/>
    <hyperlink ref="C1365" r:id="rId_hyperlink_2728" tooltip="DMT10H009LSSQ" display="DMT10H009LSSQ"/>
    <hyperlink ref="B1366" r:id="rId_hyperlink_2729" tooltip="https://www.diodes.com/datasheet/download/DMT10H009SCG.pdf" display="https://www.diodes.com/datasheet/download/DMT10H009SCG.pdf"/>
    <hyperlink ref="C1366" r:id="rId_hyperlink_2730" tooltip="DMT10H009SCG" display="DMT10H009SCG"/>
    <hyperlink ref="B1367" r:id="rId_hyperlink_2731" tooltip="https://www.diodes.com/datasheet/download/DMT10H009SK3.pdf" display="https://www.diodes.com/datasheet/download/DMT10H009SK3.pdf"/>
    <hyperlink ref="C1367" r:id="rId_hyperlink_2732" tooltip="DMT10H009SK3" display="DMT10H009SK3"/>
    <hyperlink ref="B1368" r:id="rId_hyperlink_2733" tooltip="https://www.diodes.com/datasheet/download/DMT10H009SPS.pdf" display="https://www.diodes.com/datasheet/download/DMT10H009SPS.pdf"/>
    <hyperlink ref="C1368" r:id="rId_hyperlink_2734" tooltip="DMT10H009SPS" display="DMT10H009SPS"/>
    <hyperlink ref="B1369" r:id="rId_hyperlink_2735" tooltip="https://www.diodes.com/datasheet/download/DMT10H009SSS.pdf" display="https://www.diodes.com/datasheet/download/DMT10H009SSS.pdf"/>
    <hyperlink ref="C1369" r:id="rId_hyperlink_2736" tooltip="DMT10H009SSS" display="DMT10H009SSS"/>
    <hyperlink ref="B1370" r:id="rId_hyperlink_2737" tooltip="https://www.diodes.com/datasheet/download/DMT10H010LCT.pdf" display="https://www.diodes.com/datasheet/download/DMT10H010LCT.pdf"/>
    <hyperlink ref="C1370" r:id="rId_hyperlink_2738" tooltip="DMT10H010LCT" display="DMT10H010LCT"/>
    <hyperlink ref="B1371" r:id="rId_hyperlink_2739" tooltip="https://www.diodes.com/datasheet/download/DMT10H010LK3.pdf" display="https://www.diodes.com/datasheet/download/DMT10H010LK3.pdf"/>
    <hyperlink ref="C1371" r:id="rId_hyperlink_2740" tooltip="DMT10H010LK3" display="DMT10H010LK3"/>
    <hyperlink ref="B1372" r:id="rId_hyperlink_2741" tooltip="https://www.diodes.com/datasheet/download/DMT10H010LPS.pdf" display="https://www.diodes.com/datasheet/download/DMT10H010LPS.pdf"/>
    <hyperlink ref="C1372" r:id="rId_hyperlink_2742" tooltip="DMT10H010LPS" display="DMT10H010LPS"/>
    <hyperlink ref="B1373" r:id="rId_hyperlink_2743" tooltip="https://www.diodes.com/datasheet/download/DMT10H010LSS.pdf" display="https://www.diodes.com/datasheet/download/DMT10H010LSS.pdf"/>
    <hyperlink ref="C1373" r:id="rId_hyperlink_2744" tooltip="DMT10H010LSS" display="DMT10H010LSS"/>
    <hyperlink ref="B1374" r:id="rId_hyperlink_2745" tooltip="https://www.diodes.com/datasheet/download/DMT10H010LSSQ.pdf" display="https://www.diodes.com/datasheet/download/DMT10H010LSSQ.pdf"/>
    <hyperlink ref="C1374" r:id="rId_hyperlink_2746" tooltip="DMT10H010LSSQ" display="DMT10H010LSSQ"/>
    <hyperlink ref="B1375" r:id="rId_hyperlink_2747" tooltip="https://www.diodes.com/datasheet/download/DMT10H010SPS.pdf" display="https://www.diodes.com/datasheet/download/DMT10H010SPS.pdf"/>
    <hyperlink ref="C1375" r:id="rId_hyperlink_2748" tooltip="DMT10H010SPS" display="DMT10H010SPS"/>
    <hyperlink ref="B1376" r:id="rId_hyperlink_2749" tooltip="https://www.diodes.com/datasheet/download/DMT10H014LSS.pdf" display="https://www.diodes.com/datasheet/download/DMT10H014LSS.pdf"/>
    <hyperlink ref="C1376" r:id="rId_hyperlink_2750" tooltip="DMT10H014LSS" display="DMT10H014LSS"/>
    <hyperlink ref="B1377" r:id="rId_hyperlink_2751" tooltip="https://www.diodes.com/datasheet/download/DMT10H015LCG.pdf" display="https://www.diodes.com/datasheet/download/DMT10H015LCG.pdf"/>
    <hyperlink ref="C1377" r:id="rId_hyperlink_2752" tooltip="DMT10H015LCG" display="DMT10H015LCG"/>
    <hyperlink ref="B1378" r:id="rId_hyperlink_2753" tooltip="https://www.diodes.com/datasheet/download/DMT10H015LFG.pdf" display="https://www.diodes.com/datasheet/download/DMT10H015LFG.pdf"/>
    <hyperlink ref="C1378" r:id="rId_hyperlink_2754" tooltip="DMT10H015LFG" display="DMT10H015LFG"/>
    <hyperlink ref="B1379" r:id="rId_hyperlink_2755" tooltip="https://www.diodes.com/datasheet/download/DMT10H015LK3.pdf" display="https://www.diodes.com/datasheet/download/DMT10H015LK3.pdf"/>
    <hyperlink ref="C1379" r:id="rId_hyperlink_2756" tooltip="DMT10H015LK3" display="DMT10H015LK3"/>
    <hyperlink ref="B1380" r:id="rId_hyperlink_2757" tooltip="https://www.diodes.com/datasheet/download/DMT10H015LPS.pdf" display="https://www.diodes.com/datasheet/download/DMT10H015LPS.pdf"/>
    <hyperlink ref="C1380" r:id="rId_hyperlink_2758" tooltip="DMT10H015LPS" display="DMT10H015LPS"/>
    <hyperlink ref="B1381" r:id="rId_hyperlink_2759" tooltip="https://www.diodes.com/datasheet/download/DMT10H015LSS.pdf" display="https://www.diodes.com/datasheet/download/DMT10H015LSS.pdf"/>
    <hyperlink ref="C1381" r:id="rId_hyperlink_2760" tooltip="DMT10H015LSS" display="DMT10H015LSS"/>
    <hyperlink ref="B1382" r:id="rId_hyperlink_2761" tooltip="https://www.diodes.com/datasheet/download/DMT10H015SK3.pdf" display="https://www.diodes.com/datasheet/download/DMT10H015SK3.pdf"/>
    <hyperlink ref="C1382" r:id="rId_hyperlink_2762" tooltip="DMT10H015SK3" display="DMT10H015SK3"/>
    <hyperlink ref="B1383" r:id="rId_hyperlink_2763" tooltip="https://www.diodes.com/datasheet/download/DMT10H015SPS.pdf" display="https://www.diodes.com/datasheet/download/DMT10H015SPS.pdf"/>
    <hyperlink ref="C1383" r:id="rId_hyperlink_2764" tooltip="DMT10H015SPS" display="DMT10H015SPS"/>
    <hyperlink ref="B1384" r:id="rId_hyperlink_2765" tooltip="https://www.diodes.com/datasheet/download/DMT10H017LPD.pdf" display="https://www.diodes.com/datasheet/download/DMT10H017LPD.pdf"/>
    <hyperlink ref="C1384" r:id="rId_hyperlink_2766" tooltip="DMT10H017LPD" display="DMT10H017LPD"/>
    <hyperlink ref="B1385" r:id="rId_hyperlink_2767" tooltip="https://www.diodes.com/datasheet/download/DMT10H025LK3.pdf" display="https://www.diodes.com/datasheet/download/DMT10H025LK3.pdf"/>
    <hyperlink ref="C1385" r:id="rId_hyperlink_2768" tooltip="DMT10H025LK3" display="DMT10H025LK3"/>
    <hyperlink ref="B1386" r:id="rId_hyperlink_2769" tooltip="https://www.diodes.com/datasheet/download/DMT10H025LSS.pdf" display="https://www.diodes.com/datasheet/download/DMT10H025LSS.pdf"/>
    <hyperlink ref="C1386" r:id="rId_hyperlink_2770" tooltip="DMT10H025LSS" display="DMT10H025LSS"/>
    <hyperlink ref="B1387" r:id="rId_hyperlink_2771" tooltip="https://www.diodes.com/datasheet/download/DMT10H025SK3+.pdf" display="https://www.diodes.com/datasheet/download/DMT10H025SK3+.pdf"/>
    <hyperlink ref="C1387" r:id="rId_hyperlink_2772" tooltip="DMT10H025SK3" display="DMT10H025SK3"/>
    <hyperlink ref="B1388" r:id="rId_hyperlink_2773" tooltip="https://www.diodes.com/datasheet/download/DMT10H025SSS.pdf" display="https://www.diodes.com/datasheet/download/DMT10H025SSS.pdf"/>
    <hyperlink ref="C1388" r:id="rId_hyperlink_2774" tooltip="DMT10H025SSS" display="DMT10H025SSS"/>
    <hyperlink ref="B1389" r:id="rId_hyperlink_2775" tooltip="https://www.diodes.com/datasheet/download/DMT10H032LDV.pdf" display="https://www.diodes.com/datasheet/download/DMT10H032LDV.pdf"/>
    <hyperlink ref="C1389" r:id="rId_hyperlink_2776" tooltip="DMT10H032LDV" display="DMT10H032LDV"/>
    <hyperlink ref="B1390" r:id="rId_hyperlink_2777" tooltip="https://www.diodes.com/datasheet/download/DMT10H032LDVW.pdf" display="https://www.diodes.com/datasheet/download/DMT10H032LDVW.pdf"/>
    <hyperlink ref="C1390" r:id="rId_hyperlink_2778" tooltip="DMT10H032LDVW" display="DMT10H032LDVW"/>
    <hyperlink ref="B1391" r:id="rId_hyperlink_2779" tooltip="https://www.diodes.com/datasheet/download/DMT10H032LDVWQ.pdf" display="https://www.diodes.com/datasheet/download/DMT10H032LDVWQ.pdf"/>
    <hyperlink ref="C1391" r:id="rId_hyperlink_2780" tooltip="DMT10H032LDVWQ" display="DMT10H032LDVWQ"/>
    <hyperlink ref="B1392" r:id="rId_hyperlink_2781" tooltip="https://www.diodes.com/datasheet/download/DMT10H032LFDF.pdf" display="https://www.diodes.com/datasheet/download/DMT10H032LFDF.pdf"/>
    <hyperlink ref="C1392" r:id="rId_hyperlink_2782" tooltip="DMT10H032LFDF" display="DMT10H032LFDF"/>
    <hyperlink ref="B1393" r:id="rId_hyperlink_2783" tooltip="https://www.diodes.com/datasheet/download/DMT10H032LFVW.pdf" display="https://www.diodes.com/datasheet/download/DMT10H032LFVW.pdf"/>
    <hyperlink ref="C1393" r:id="rId_hyperlink_2784" tooltip="DMT10H032LFVW" display="DMT10H032LFVW"/>
    <hyperlink ref="B1394" r:id="rId_hyperlink_2785" tooltip="https://www.diodes.com/datasheet/download/DMT10H032LK3.pdf" display="https://www.diodes.com/datasheet/download/DMT10H032LK3.pdf"/>
    <hyperlink ref="C1394" r:id="rId_hyperlink_2786" tooltip="DMT10H032LK3" display="DMT10H032LK3"/>
    <hyperlink ref="B1395" r:id="rId_hyperlink_2787" tooltip="https://www.diodes.com/datasheet/download/DMT10H032LSS.pdf" display="https://www.diodes.com/datasheet/download/DMT10H032LSS.pdf"/>
    <hyperlink ref="C1395" r:id="rId_hyperlink_2788" tooltip="DMT10H032LSS" display="DMT10H032LSS"/>
    <hyperlink ref="B1396" r:id="rId_hyperlink_2789" tooltip="https://www.diodes.com/datasheet/download/DMT10H032SDVW.pdf" display="https://www.diodes.com/datasheet/download/DMT10H032SDVW.pdf"/>
    <hyperlink ref="C1396" r:id="rId_hyperlink_2790" tooltip="DMT10H032SDVW" display="DMT10H032SDVW"/>
    <hyperlink ref="B1397" r:id="rId_hyperlink_2791" tooltip="https://www.diodes.com/datasheet/download/DMT10H032SDVWQ.pdf" display="https://www.diodes.com/datasheet/download/DMT10H032SDVWQ.pdf"/>
    <hyperlink ref="C1397" r:id="rId_hyperlink_2792" tooltip="DMT10H032SDVWQ" display="DMT10H032SDVWQ"/>
    <hyperlink ref="B1398" r:id="rId_hyperlink_2793" tooltip="https://www.diodes.com/datasheet/download/DMT10H032SFVW.pdf" display="https://www.diodes.com/datasheet/download/DMT10H032SFVW.pdf"/>
    <hyperlink ref="C1398" r:id="rId_hyperlink_2794" tooltip="DMT10H032SFVW" display="DMT10H032SFVW"/>
    <hyperlink ref="B1399" r:id="rId_hyperlink_2795" tooltip="https://www.diodes.com/datasheet/download/DMT10H052LFDF.pdf" display="https://www.diodes.com/datasheet/download/DMT10H052LFDF.pdf"/>
    <hyperlink ref="C1399" r:id="rId_hyperlink_2796" tooltip="DMT10H052LFDF" display="DMT10H052LFDF"/>
    <hyperlink ref="B1400" r:id="rId_hyperlink_2797" tooltip="https://www.diodes.com/datasheet/download/DMT10H072LDV.pdf" display="https://www.diodes.com/datasheet/download/DMT10H072LDV.pdf"/>
    <hyperlink ref="C1400" r:id="rId_hyperlink_2798" tooltip="DMT10H072LDV" display="DMT10H072LDV"/>
    <hyperlink ref="B1401" r:id="rId_hyperlink_2799" tooltip="https://www.diodes.com/datasheet/download/DMT10H072LFDF.pdf" display="https://www.diodes.com/datasheet/download/DMT10H072LFDF.pdf"/>
    <hyperlink ref="C1401" r:id="rId_hyperlink_2800" tooltip="DMT10H072LFDF" display="DMT10H072LFDF"/>
    <hyperlink ref="B1402" r:id="rId_hyperlink_2801" tooltip="https://www.diodes.com/datasheet/download/DMT10H072LFDFQ.pdf" display="https://www.diodes.com/datasheet/download/DMT10H072LFDFQ.pdf"/>
    <hyperlink ref="C1402" r:id="rId_hyperlink_2802" tooltip="DMT10H072LFDFQ" display="DMT10H072LFDFQ"/>
    <hyperlink ref="B1403" r:id="rId_hyperlink_2803" tooltip="https://www.diodes.com/datasheet/download/DMT10H072LFV.pdf" display="https://www.diodes.com/datasheet/download/DMT10H072LFV.pdf"/>
    <hyperlink ref="C1403" r:id="rId_hyperlink_2804" tooltip="DMT10H072LFV" display="DMT10H072LFV"/>
    <hyperlink ref="B1404" r:id="rId_hyperlink_2805" tooltip="https://www.diodes.com/datasheet/download/DMT10H075LE.pdf" display="https://www.diodes.com/datasheet/download/DMT10H075LE.pdf"/>
    <hyperlink ref="C1404" r:id="rId_hyperlink_2806" tooltip="DMT10H075LE" display="DMT10H075LE"/>
    <hyperlink ref="B1405" r:id="rId_hyperlink_2807" tooltip="https://www.diodes.com/datasheet/download/DMT10H4M5LPS.pdf" display="https://www.diodes.com/datasheet/download/DMT10H4M5LPS.pdf"/>
    <hyperlink ref="C1405" r:id="rId_hyperlink_2808" tooltip="DMT10H4M5LPS" display="DMT10H4M5LPS"/>
    <hyperlink ref="B1406" r:id="rId_hyperlink_2809" tooltip="https://www.diodes.com/datasheet/download/DMT10H9M9LCT.pdf" display="https://www.diodes.com/datasheet/download/DMT10H9M9LCT.pdf"/>
    <hyperlink ref="C1406" r:id="rId_hyperlink_2810" tooltip="DMT10H9M9LCT" display="DMT10H9M9LCT"/>
    <hyperlink ref="B1407" r:id="rId_hyperlink_2811" tooltip="https://www.diodes.com/datasheet/download/DMT10H9M9SCT.pdf" display="https://www.diodes.com/datasheet/download/DMT10H9M9SCT.pdf"/>
    <hyperlink ref="C1407" r:id="rId_hyperlink_2812" tooltip="DMT10H9M9SCT" display="DMT10H9M9SCT"/>
    <hyperlink ref="B1408" r:id="rId_hyperlink_2813" tooltip="https://www.diodes.com/datasheet/download/DMT10H9M9SH3.pdf" display="https://www.diodes.com/datasheet/download/DMT10H9M9SH3.pdf"/>
    <hyperlink ref="C1408" r:id="rId_hyperlink_2814" tooltip="DMT10H9M9SH3" display="DMT10H9M9SH3"/>
    <hyperlink ref="B1409" r:id="rId_hyperlink_2815" tooltip="https://www.diodes.com/datasheet/download/DMT12H007LPS.pdf" display="https://www.diodes.com/datasheet/download/DMT12H007LPS.pdf"/>
    <hyperlink ref="C1409" r:id="rId_hyperlink_2816" tooltip="DMT12H007LPS" display="DMT12H007LPS"/>
    <hyperlink ref="B1410" r:id="rId_hyperlink_2817" tooltip="https://www.diodes.com/datasheet/download/DMT12H007SPS.pdf" display="https://www.diodes.com/datasheet/download/DMT12H007SPS.pdf"/>
    <hyperlink ref="C1410" r:id="rId_hyperlink_2818" tooltip="DMT12H007SPS" display="DMT12H007SPS"/>
    <hyperlink ref="B1411" r:id="rId_hyperlink_2819" tooltip="https://www.diodes.com/datasheet/download/DMT12H060LCA9.pdf" display="https://www.diodes.com/datasheet/download/DMT12H060LCA9.pdf"/>
    <hyperlink ref="C1411" r:id="rId_hyperlink_2820" tooltip="DMT12H060LCA9" display="DMT12H060LCA9"/>
    <hyperlink ref="B1412" r:id="rId_hyperlink_2821" tooltip="https://www.diodes.com/datasheet/download/DMT12H060LFDF.pdf" display="https://www.diodes.com/datasheet/download/DMT12H060LFDF.pdf"/>
    <hyperlink ref="C1412" r:id="rId_hyperlink_2822" tooltip="DMT12H060LFDF" display="DMT12H060LFDF"/>
    <hyperlink ref="B1413" r:id="rId_hyperlink_2823" tooltip="https://www.diodes.com/datasheet/download/DMT12H065LFDF.pdf" display="https://www.diodes.com/datasheet/download/DMT12H065LFDF.pdf"/>
    <hyperlink ref="C1413" r:id="rId_hyperlink_2824" tooltip="DMT12H065LFDF" display="DMT12H065LFDF"/>
    <hyperlink ref="B1414" r:id="rId_hyperlink_2825" tooltip="https://www.diodes.com/datasheet/download/DMT12H090LFDF4.pdf" display="https://www.diodes.com/datasheet/download/DMT12H090LFDF4.pdf"/>
    <hyperlink ref="C1414" r:id="rId_hyperlink_2826" tooltip="DMT12H090LFDF4" display="DMT12H090LFDF4"/>
    <hyperlink ref="B1415" r:id="rId_hyperlink_2827" tooltip="https://www.diodes.com/datasheet/download/DMT15H017LPS.pdf" display="https://www.diodes.com/datasheet/download/DMT15H017LPS.pdf"/>
    <hyperlink ref="C1415" r:id="rId_hyperlink_2828" tooltip="DMT15H017LPS" display="DMT15H017LPS"/>
    <hyperlink ref="B1416" r:id="rId_hyperlink_2829" tooltip="https://www.diodes.com/datasheet/download/DMT15H017LPSW.pdf" display="https://www.diodes.com/datasheet/download/DMT15H017LPSW.pdf"/>
    <hyperlink ref="C1416" r:id="rId_hyperlink_2830" tooltip="DMT15H017LPSW" display="DMT15H017LPSW"/>
    <hyperlink ref="B1417" r:id="rId_hyperlink_2831" tooltip="https://www.diodes.com/datasheet/download/DMT15H017SK3.pdf" display="https://www.diodes.com/datasheet/download/DMT15H017SK3.pdf"/>
    <hyperlink ref="C1417" r:id="rId_hyperlink_2832" tooltip="DMT15H017SK3" display="DMT15H017SK3"/>
    <hyperlink ref="B1418" r:id="rId_hyperlink_2833" tooltip="https://www.diodes.com/datasheet/download/DMT15H035SCT.pdf" display="https://www.diodes.com/datasheet/download/DMT15H035SCT.pdf"/>
    <hyperlink ref="C1418" r:id="rId_hyperlink_2834" tooltip="DMT15H035SCT" display="DMT15H035SCT"/>
    <hyperlink ref="B1419" r:id="rId_hyperlink_2835" tooltip="https://www.diodes.com/datasheet/download/DMT15H053SK3.pdf" display="https://www.diodes.com/datasheet/download/DMT15H053SK3.pdf"/>
    <hyperlink ref="C1419" r:id="rId_hyperlink_2836" tooltip="DMT15H053SK3" display="DMT15H053SK3"/>
    <hyperlink ref="B1420" r:id="rId_hyperlink_2837" tooltip="https://www.diodes.com/datasheet/download/DMT15H053SPSW.pdf" display="https://www.diodes.com/datasheet/download/DMT15H053SPSW.pdf"/>
    <hyperlink ref="C1420" r:id="rId_hyperlink_2838" tooltip="DMT15H053SPSW" display="DMT15H053SPSW"/>
    <hyperlink ref="B1421" r:id="rId_hyperlink_2839" tooltip="https://www.diodes.com/datasheet/download/DMT15H053SPSWQ.pdf" display="https://www.diodes.com/datasheet/download/DMT15H053SPSWQ.pdf"/>
    <hyperlink ref="C1421" r:id="rId_hyperlink_2840" tooltip="DMT15H053SPSWQ" display="DMT15H053SPSWQ"/>
    <hyperlink ref="B1422" r:id="rId_hyperlink_2841" tooltip="https://www.diodes.com/datasheet/download/DMT15H053SSS.pdf" display="https://www.diodes.com/datasheet/download/DMT15H053SSS.pdf"/>
    <hyperlink ref="C1422" r:id="rId_hyperlink_2842" tooltip="DMT15H053SSS" display="DMT15H053SSS"/>
    <hyperlink ref="B1423" r:id="rId_hyperlink_2843" tooltip="https://www.diodes.com/datasheet/download/DMT15H067SSS.pdf" display="https://www.diodes.com/datasheet/download/DMT15H067SSS.pdf"/>
    <hyperlink ref="C1423" r:id="rId_hyperlink_2844" tooltip="DMT15H067SSS" display="DMT15H067SSS"/>
    <hyperlink ref="B1424" r:id="rId_hyperlink_2845" tooltip="https://www.diodes.com/datasheet/download/DMT2004UFDF.pdf" display="https://www.diodes.com/datasheet/download/DMT2004UFDF.pdf"/>
    <hyperlink ref="C1424" r:id="rId_hyperlink_2846" tooltip="DMT2004UFDF" display="DMT2004UFDF"/>
    <hyperlink ref="B1425" r:id="rId_hyperlink_2847" tooltip="https://www.diodes.com/datasheet/download/DMT2004UFG.pdf" display="https://www.diodes.com/datasheet/download/DMT2004UFG.pdf"/>
    <hyperlink ref="C1425" r:id="rId_hyperlink_2848" tooltip="DMT2004UFG" display="DMT2004UFG"/>
    <hyperlink ref="B1426" r:id="rId_hyperlink_2849" tooltip="https://www.diodes.com/datasheet/download/DMT2004UFV.pdf" display="https://www.diodes.com/datasheet/download/DMT2004UFV.pdf"/>
    <hyperlink ref="C1426" r:id="rId_hyperlink_2850" tooltip="DMT2004UFV" display="DMT2004UFV"/>
    <hyperlink ref="B1427" r:id="rId_hyperlink_2851" tooltip="https://www.diodes.com/datasheet/download/DMT2004UPS.pdf" display="https://www.diodes.com/datasheet/download/DMT2004UPS.pdf"/>
    <hyperlink ref="C1427" r:id="rId_hyperlink_2852" tooltip="DMT2004UPS" display="DMT2004UPS"/>
    <hyperlink ref="B1428" r:id="rId_hyperlink_2853" tooltip="https://www.diodes.com/datasheet/download/DMT2005UDV.pdf" display="https://www.diodes.com/datasheet/download/DMT2005UDV.pdf"/>
    <hyperlink ref="C1428" r:id="rId_hyperlink_2854" tooltip="DMT2005UDV" display="DMT2005UDV"/>
    <hyperlink ref="B1429" r:id="rId_hyperlink_2855" tooltip="https://www.diodes.com/datasheet/download/DMT26M0LDG.pdf" display="https://www.diodes.com/datasheet/download/DMT26M0LDG.pdf"/>
    <hyperlink ref="C1429" r:id="rId_hyperlink_2856" tooltip="DMT26M0LDG" display="DMT26M0LDG"/>
    <hyperlink ref="B1430" r:id="rId_hyperlink_2857" tooltip="https://www.diodes.com/datasheet/download/DMT3002LPS.pdf" display="https://www.diodes.com/datasheet/download/DMT3002LPS.pdf"/>
    <hyperlink ref="C1430" r:id="rId_hyperlink_2858" tooltip="DMT3002LPS" display="DMT3002LPS"/>
    <hyperlink ref="B1431" r:id="rId_hyperlink_2859" tooltip="https://www.diodes.com/datasheet/download/DMT3003LFG.pdf" display="https://www.diodes.com/datasheet/download/DMT3003LFG.pdf"/>
    <hyperlink ref="C1431" r:id="rId_hyperlink_2860" tooltip="DMT3003LFG" display="DMT3003LFG"/>
    <hyperlink ref="B1432" r:id="rId_hyperlink_2861" tooltip="https://www.diodes.com/datasheet/download/DMT3003LFGQ.pdf" display="https://www.diodes.com/datasheet/download/DMT3003LFGQ.pdf"/>
    <hyperlink ref="C1432" r:id="rId_hyperlink_2862" tooltip="DMT3003LFGQ" display="DMT3003LFGQ"/>
    <hyperlink ref="B1433" r:id="rId_hyperlink_2863" tooltip="https://www.diodes.com/datasheet/download/DMT3004LFG.pdf" display="https://www.diodes.com/datasheet/download/DMT3004LFG.pdf"/>
    <hyperlink ref="C1433" r:id="rId_hyperlink_2864" tooltip="DMT3004LFG" display="DMT3004LFG"/>
    <hyperlink ref="B1434" r:id="rId_hyperlink_2865" tooltip="https://www.diodes.com/datasheet/download/DMT3004LPS.pdf" display="https://www.diodes.com/datasheet/download/DMT3004LPS.pdf"/>
    <hyperlink ref="C1434" r:id="rId_hyperlink_2866" tooltip="DMT3004LPS" display="DMT3004LPS"/>
    <hyperlink ref="B1435" r:id="rId_hyperlink_2867" tooltip="https://www.diodes.com/datasheet/download/DMT3006LDK.pdf" display="https://www.diodes.com/datasheet/download/DMT3006LDK.pdf"/>
    <hyperlink ref="C1435" r:id="rId_hyperlink_2868" tooltip="DMT3006LDK" display="DMT3006LDK"/>
    <hyperlink ref="B1436" r:id="rId_hyperlink_2869" tooltip="https://www.diodes.com/datasheet/download/DMT3006LDV.pdf" display="https://www.diodes.com/datasheet/download/DMT3006LDV.pdf"/>
    <hyperlink ref="C1436" r:id="rId_hyperlink_2870" tooltip="DMT3006LDV" display="DMT3006LDV"/>
    <hyperlink ref="B1437" r:id="rId_hyperlink_2871" tooltip="https://www.diodes.com/datasheet/download/DMT3006LFDF.pdf" display="https://www.diodes.com/datasheet/download/DMT3006LFDF.pdf"/>
    <hyperlink ref="C1437" r:id="rId_hyperlink_2872" tooltip="DMT3006LFDF" display="DMT3006LFDF"/>
    <hyperlink ref="B1438" r:id="rId_hyperlink_2873" tooltip="https://www.diodes.com/datasheet/download/DMT3006LFDFQ.pdf" display="https://www.diodes.com/datasheet/download/DMT3006LFDFQ.pdf"/>
    <hyperlink ref="C1438" r:id="rId_hyperlink_2874" tooltip="DMT3006LFDFQ" display="DMT3006LFDFQ"/>
    <hyperlink ref="B1439" r:id="rId_hyperlink_2875" tooltip="https://www.diodes.com/datasheet/download/DMT3006LFG.pdf" display="https://www.diodes.com/datasheet/download/DMT3006LFG.pdf"/>
    <hyperlink ref="C1439" r:id="rId_hyperlink_2876" tooltip="DMT3006LFG" display="DMT3006LFG"/>
    <hyperlink ref="B1440" r:id="rId_hyperlink_2877" tooltip="https://www.diodes.com/datasheet/download/DMT3006LFV.pdf" display="https://www.diodes.com/datasheet/download/DMT3006LFV.pdf"/>
    <hyperlink ref="C1440" r:id="rId_hyperlink_2878" tooltip="DMT3006LFV" display="DMT3006LFV"/>
    <hyperlink ref="B1441" r:id="rId_hyperlink_2879" tooltip="https://www.diodes.com/datasheet/download/DMT3006LFVQ.pdf" display="https://www.diodes.com/datasheet/download/DMT3006LFVQ.pdf"/>
    <hyperlink ref="C1441" r:id="rId_hyperlink_2880" tooltip="DMT3006LFVQ" display="DMT3006LFVQ"/>
    <hyperlink ref="B1442" r:id="rId_hyperlink_2881" tooltip="https://www.diodes.com/datasheet/download/DMT3006LPB.pdf" display="https://www.diodes.com/datasheet/download/DMT3006LPB.pdf"/>
    <hyperlink ref="C1442" r:id="rId_hyperlink_2882" tooltip="DMT3006LPB" display="DMT3006LPB"/>
    <hyperlink ref="B1443" r:id="rId_hyperlink_2883" tooltip="https://www.diodes.com/datasheet/download/DMT3006LPS.pdf" display="https://www.diodes.com/datasheet/download/DMT3006LPS.pdf"/>
    <hyperlink ref="C1443" r:id="rId_hyperlink_2884" tooltip="DMT3006LPS" display="DMT3006LPS"/>
    <hyperlink ref="B1444" r:id="rId_hyperlink_2885" tooltip="https://www.diodes.com/datasheet/download/DMT3008LFDF.pdf" display="https://www.diodes.com/datasheet/download/DMT3008LFDF.pdf"/>
    <hyperlink ref="C1444" r:id="rId_hyperlink_2886" tooltip="DMT3008LFDF" display="DMT3008LFDF"/>
    <hyperlink ref="B1445" r:id="rId_hyperlink_2887" tooltip="https://www.diodes.com/datasheet/download/DMT3009LDT.pdf" display="https://www.diodes.com/datasheet/download/DMT3009LDT.pdf"/>
    <hyperlink ref="C1445" r:id="rId_hyperlink_2888" tooltip="DMT3009LDT" display="DMT3009LDT"/>
    <hyperlink ref="B1446" r:id="rId_hyperlink_2889" tooltip="https://www.diodes.com/datasheet/download/DMT3009LDV.pdf" display="https://www.diodes.com/datasheet/download/DMT3009LDV.pdf"/>
    <hyperlink ref="C1446" r:id="rId_hyperlink_2890" tooltip="DMT3009LDV" display="DMT3009LDV"/>
    <hyperlink ref="B1447" r:id="rId_hyperlink_2891" tooltip="https://www.diodes.com/datasheet/download/DMT3009LEV.pdf" display="https://www.diodes.com/datasheet/download/DMT3009LEV.pdf"/>
    <hyperlink ref="C1447" r:id="rId_hyperlink_2892" tooltip="DMT3009LEV" display="DMT3009LEV"/>
    <hyperlink ref="B1448" r:id="rId_hyperlink_2893" tooltip="https://www.diodes.com/datasheet/download/DMT3009LFVW.pdf" display="https://www.diodes.com/datasheet/download/DMT3009LFVW.pdf"/>
    <hyperlink ref="C1448" r:id="rId_hyperlink_2894" tooltip="DMT3009LFVW" display="DMT3009LFVW"/>
    <hyperlink ref="B1449" r:id="rId_hyperlink_2895" tooltip="https://www.diodes.com/datasheet/download/DMT3009LFVWQ.pdf" display="https://www.diodes.com/datasheet/download/DMT3009LFVWQ.pdf"/>
    <hyperlink ref="C1449" r:id="rId_hyperlink_2896" tooltip="DMT3009LFVWQ" display="DMT3009LFVWQ"/>
    <hyperlink ref="B1450" r:id="rId_hyperlink_2897" tooltip="https://www.diodes.com/datasheet/download/DMT3009UDT.pdf" display="https://www.diodes.com/datasheet/download/DMT3009UDT.pdf"/>
    <hyperlink ref="C1450" r:id="rId_hyperlink_2898" tooltip="DMT3009UDT" display="DMT3009UDT"/>
    <hyperlink ref="B1451" r:id="rId_hyperlink_2899" tooltip="https://www.diodes.com/datasheet/download/DMT3009UFVW.pdf" display="https://www.diodes.com/datasheet/download/DMT3009UFVW.pdf"/>
    <hyperlink ref="C1451" r:id="rId_hyperlink_2900" tooltip="DMT3009UFVW" display="DMT3009UFVW"/>
    <hyperlink ref="B1452" r:id="rId_hyperlink_2901" tooltip="https://www.diodes.com/datasheet/download/DMT3011LDT.pdf" display="https://www.diodes.com/datasheet/download/DMT3011LDT.pdf"/>
    <hyperlink ref="C1452" r:id="rId_hyperlink_2902" tooltip="DMT3011LDT" display="DMT3011LDT"/>
    <hyperlink ref="B1453" r:id="rId_hyperlink_2903" tooltip="https://www.diodes.com/datasheet/download/DMT3020LDT.pdf" display="https://www.diodes.com/datasheet/download/DMT3020LDT.pdf"/>
    <hyperlink ref="C1453" r:id="rId_hyperlink_2904" tooltip="DMT3020LDT" display="DMT3020LDT"/>
    <hyperlink ref="B1454" r:id="rId_hyperlink_2905" tooltip="https://www.diodes.com/datasheet/download/DMT3020LDV.pdf" display="https://www.diodes.com/datasheet/download/DMT3020LDV.pdf"/>
    <hyperlink ref="C1454" r:id="rId_hyperlink_2906" tooltip="DMT3020LDV" display="DMT3020LDV"/>
    <hyperlink ref="B1455" r:id="rId_hyperlink_2907" tooltip="https://www.diodes.com/datasheet/download/DMT3020LFCL.pdf" display="https://www.diodes.com/datasheet/download/DMT3020LFCL.pdf"/>
    <hyperlink ref="C1455" r:id="rId_hyperlink_2908" tooltip="DMT3020LFCL" display="DMT3020LFCL"/>
    <hyperlink ref="B1456" r:id="rId_hyperlink_2909" tooltip="https://www.diodes.com/datasheet/download/DMT3020LFDB.pdf" display="https://www.diodes.com/datasheet/download/DMT3020LFDB.pdf"/>
    <hyperlink ref="C1456" r:id="rId_hyperlink_2910" tooltip="DMT3020LFDB" display="DMT3020LFDB"/>
    <hyperlink ref="B1457" r:id="rId_hyperlink_2911" tooltip="https://www.diodes.com/datasheet/download/DMT3020LFDBQ.pdf" display="https://www.diodes.com/datasheet/download/DMT3020LFDBQ.pdf"/>
    <hyperlink ref="C1457" r:id="rId_hyperlink_2912" tooltip="DMT3020LFDBQ" display="DMT3020LFDBQ"/>
    <hyperlink ref="B1458" r:id="rId_hyperlink_2913" tooltip="https://www.diodes.com/datasheet/download/DMT3020LFDF.pdf" display="https://www.diodes.com/datasheet/download/DMT3020LFDF.pdf"/>
    <hyperlink ref="C1458" r:id="rId_hyperlink_2914" tooltip="DMT3020LFDF" display="DMT3020LFDF"/>
    <hyperlink ref="B1459" r:id="rId_hyperlink_2915" tooltip="https://www.diodes.com/datasheet/download/DMT3020LFDFQ.pdf" display="https://www.diodes.com/datasheet/download/DMT3020LFDFQ.pdf"/>
    <hyperlink ref="C1459" r:id="rId_hyperlink_2916" tooltip="DMT3020LFDFQ" display="DMT3020LFDFQ"/>
    <hyperlink ref="B1460" r:id="rId_hyperlink_2917" tooltip="https://www.diodes.com/datasheet/download/DMT3020LFDFW.pdf" display="https://www.diodes.com/datasheet/download/DMT3020LFDFW.pdf"/>
    <hyperlink ref="C1460" r:id="rId_hyperlink_2918" tooltip="DMT3020LFDFW" display="DMT3020LFDFW"/>
    <hyperlink ref="B1461" r:id="rId_hyperlink_2919" tooltip="https://www.diodes.com/datasheet/download/DMT3020LFDFWQ.pdf" display="https://www.diodes.com/datasheet/download/DMT3020LFDFWQ.pdf"/>
    <hyperlink ref="C1461" r:id="rId_hyperlink_2920" tooltip="DMT3020LFDFWQ" display="DMT3020LFDFWQ"/>
    <hyperlink ref="B1462" r:id="rId_hyperlink_2921" tooltip="https://www.diodes.com/datasheet/download/DMT3020LFVW.pdf" display="https://www.diodes.com/datasheet/download/DMT3020LFVW.pdf"/>
    <hyperlink ref="C1462" r:id="rId_hyperlink_2922" tooltip="DMT3020LFVW" display="DMT3020LFVW"/>
    <hyperlink ref="B1463" r:id="rId_hyperlink_2923" tooltip="https://www.diodes.com/datasheet/download/DMT3020LSD.pdf" display="https://www.diodes.com/datasheet/download/DMT3020LSD.pdf"/>
    <hyperlink ref="C1463" r:id="rId_hyperlink_2924" tooltip="DMT3020LSD" display="DMT3020LSD"/>
    <hyperlink ref="B1464" r:id="rId_hyperlink_2925" tooltip="https://www.diodes.com/datasheet/download/DMT3020LSDQ.pdf" display="https://www.diodes.com/datasheet/download/DMT3020LSDQ.pdf"/>
    <hyperlink ref="C1464" r:id="rId_hyperlink_2926" tooltip="DMT3020LSDQ" display="DMT3020LSDQ"/>
    <hyperlink ref="B1465" r:id="rId_hyperlink_2927" tooltip="https://www.diodes.com/datasheet/download/DMT3020UFDB.pdf" display="https://www.diodes.com/datasheet/download/DMT3020UFDB.pdf"/>
    <hyperlink ref="C1465" r:id="rId_hyperlink_2928" tooltip="DMT3020UFDB" display="DMT3020UFDB"/>
    <hyperlink ref="B1466" r:id="rId_hyperlink_2929" tooltip="https://www.diodes.com/datasheet/download/DMT3022UEV.pdf" display="https://www.diodes.com/datasheet/download/DMT3022UEV.pdf"/>
    <hyperlink ref="C1466" r:id="rId_hyperlink_2930" tooltip="DMT3022UEV" display="DMT3022UEV"/>
    <hyperlink ref="B1467" r:id="rId_hyperlink_2931" tooltip="https://www.diodes.com/datasheet/download/DMT30M9LPS.pdf" display="https://www.diodes.com/datasheet/download/DMT30M9LPS.pdf"/>
    <hyperlink ref="C1467" r:id="rId_hyperlink_2932" tooltip="DMT30M9LPS" display="DMT30M9LPS"/>
    <hyperlink ref="B1468" r:id="rId_hyperlink_2933" tooltip="https://www.diodes.com/datasheet/download/DMT31M1LPSW.pdf" display="https://www.diodes.com/datasheet/download/DMT31M1LPSW.pdf"/>
    <hyperlink ref="C1468" r:id="rId_hyperlink_2934" tooltip="DMT31M1LPSW" display="DMT31M1LPSW"/>
    <hyperlink ref="B1469" r:id="rId_hyperlink_2935" tooltip="https://www.diodes.com/datasheet/download/DMT31M1LPSWQ.pdf" display="https://www.diodes.com/datasheet/download/DMT31M1LPSWQ.pdf"/>
    <hyperlink ref="C1469" r:id="rId_hyperlink_2936" tooltip="DMT31M1LPSWQ" display="DMT31M1LPSWQ"/>
    <hyperlink ref="B1470" r:id="rId_hyperlink_2937" tooltip="https://www.diodes.com/datasheet/download/DMT31M6LPS.pdf" display="https://www.diodes.com/datasheet/download/DMT31M6LPS.pdf"/>
    <hyperlink ref="C1470" r:id="rId_hyperlink_2938" tooltip="DMT31M6LPS" display="DMT31M6LPS"/>
    <hyperlink ref="B1471" r:id="rId_hyperlink_2939" tooltip="https://www.diodes.com/datasheet/download/DMT31M7LPS.pdf" display="https://www.diodes.com/datasheet/download/DMT31M7LPS.pdf"/>
    <hyperlink ref="C1471" r:id="rId_hyperlink_2940" tooltip="DMT31M7LPS" display="DMT31M7LPS"/>
    <hyperlink ref="B1472" r:id="rId_hyperlink_2941" tooltip="https://www.diodes.com/datasheet/download/DMT31M7LSS.pdf" display="https://www.diodes.com/datasheet/download/DMT31M7LSS.pdf"/>
    <hyperlink ref="C1472" r:id="rId_hyperlink_2942" tooltip="DMT31M7LSS" display="DMT31M7LSS"/>
    <hyperlink ref="B1473" r:id="rId_hyperlink_2943" tooltip="https://www.diodes.com/datasheet/download/DMT31M8LFVW.pdf" display="https://www.diodes.com/datasheet/download/DMT31M8LFVW.pdf"/>
    <hyperlink ref="C1473" r:id="rId_hyperlink_2944" tooltip="DMT31M8LFVW" display="DMT31M8LFVW"/>
    <hyperlink ref="B1474" r:id="rId_hyperlink_2945" tooltip="https://www.diodes.com/datasheet/download/DMT31M8LFVWQ.pdf" display="https://www.diodes.com/datasheet/download/DMT31M8LFVWQ.pdf"/>
    <hyperlink ref="C1474" r:id="rId_hyperlink_2946" tooltip="DMT31M8LFVWQ" display="DMT31M8LFVWQ"/>
    <hyperlink ref="B1475" r:id="rId_hyperlink_2947" tooltip="https://www.diodes.com/datasheet/download/DMT31M9LFVW.pdf" display="https://www.diodes.com/datasheet/download/DMT31M9LFVW.pdf"/>
    <hyperlink ref="C1475" r:id="rId_hyperlink_2948" tooltip="DMT31M9LFVW" display="DMT31M9LFVW"/>
    <hyperlink ref="B1476" r:id="rId_hyperlink_2949" tooltip="https://www.diodes.com/datasheet/download/DMT32M4LFG.pdf" display="https://www.diodes.com/datasheet/download/DMT32M4LFG.pdf"/>
    <hyperlink ref="C1476" r:id="rId_hyperlink_2950" tooltip="DMT32M4LFG" display="DMT32M4LFG"/>
    <hyperlink ref="B1477" r:id="rId_hyperlink_2951" tooltip="https://www.diodes.com/datasheet/download/DMT32M4LPSW.pdf" display="https://www.diodes.com/datasheet/download/DMT32M4LPSW.pdf"/>
    <hyperlink ref="C1477" r:id="rId_hyperlink_2952" tooltip="DMT32M4LPSW" display="DMT32M4LPSW"/>
    <hyperlink ref="B1478" r:id="rId_hyperlink_2953" tooltip="https://www.diodes.com/datasheet/download/DMT32M5LFG.pdf" display="https://www.diodes.com/datasheet/download/DMT32M5LFG.pdf"/>
    <hyperlink ref="C1478" r:id="rId_hyperlink_2954" tooltip="DMT32M5LFG" display="DMT32M5LFG"/>
    <hyperlink ref="B1479" r:id="rId_hyperlink_2955" tooltip="https://www.diodes.com/datasheet/download/DMT32M5LPS.pdf" display="https://www.diodes.com/datasheet/download/DMT32M5LPS.pdf"/>
    <hyperlink ref="C1479" r:id="rId_hyperlink_2956" tooltip="DMT32M5LPS" display="DMT32M5LPS"/>
    <hyperlink ref="B1480" r:id="rId_hyperlink_2957" tooltip="https://www.diodes.com/datasheet/download/DMT32M5LPSW.pdf" display="https://www.diodes.com/datasheet/download/DMT32M5LPSW.pdf"/>
    <hyperlink ref="C1480" r:id="rId_hyperlink_2958" tooltip="DMT32M5LPSW" display="DMT32M5LPSW"/>
    <hyperlink ref="B1481" r:id="rId_hyperlink_2959" tooltip="https://www.diodes.com/datasheet/download/DMT32M6LDG.pdf" display="https://www.diodes.com/datasheet/download/DMT32M6LDG.pdf"/>
    <hyperlink ref="C1481" r:id="rId_hyperlink_2960" tooltip="DMT32M6LDG" display="DMT32M6LDG"/>
    <hyperlink ref="B1482" r:id="rId_hyperlink_2961" tooltip="https://www.diodes.com/datasheet/download/DMT34M1LPS.pdf" display="https://www.diodes.com/datasheet/download/DMT34M1LPS.pdf"/>
    <hyperlink ref="C1482" r:id="rId_hyperlink_2962" tooltip="DMT34M1LPS" display="DMT34M1LPS"/>
    <hyperlink ref="B1483" r:id="rId_hyperlink_2963" tooltip="https://www.diodes.com/datasheet/download/DMT34M8LFDE.pdf" display="https://www.diodes.com/datasheet/download/DMT34M8LFDE.pdf"/>
    <hyperlink ref="C1483" r:id="rId_hyperlink_2964" tooltip="DMT34M8LFDE" display="DMT34M8LFDE"/>
    <hyperlink ref="B1484" r:id="rId_hyperlink_2965" tooltip="https://www.diodes.com/datasheet/download/DMT35M4LFDF.pdf" display="https://www.diodes.com/datasheet/download/DMT35M4LFDF.pdf"/>
    <hyperlink ref="C1484" r:id="rId_hyperlink_2966" tooltip="DMT35M4LFDF" display="DMT35M4LFDF"/>
    <hyperlink ref="B1485" r:id="rId_hyperlink_2967" tooltip="https://www.diodes.com/datasheet/download/DMT35M4LFDF4.pdf" display="https://www.diodes.com/datasheet/download/DMT35M4LFDF4.pdf"/>
    <hyperlink ref="C1485" r:id="rId_hyperlink_2968" tooltip="DMT35M4LFDF4" display="DMT35M4LFDF4"/>
    <hyperlink ref="B1486" r:id="rId_hyperlink_2969" tooltip="https://www.diodes.com/datasheet/download/DMT35M4LFVW.pdf" display="https://www.diodes.com/datasheet/download/DMT35M4LFVW.pdf"/>
    <hyperlink ref="C1486" r:id="rId_hyperlink_2970" tooltip="DMT35M4LFVW" display="DMT35M4LFVW"/>
    <hyperlink ref="B1487" r:id="rId_hyperlink_2971" tooltip="https://www.diodes.com/datasheet/download/DMT35M4LPSW.pdf" display="https://www.diodes.com/datasheet/download/DMT35M4LPSW.pdf"/>
    <hyperlink ref="C1487" r:id="rId_hyperlink_2972" tooltip="DMT35M4LPSW" display="DMT35M4LPSW"/>
    <hyperlink ref="B1488" r:id="rId_hyperlink_2973" tooltip="https://www.diodes.com/datasheet/download/DMT35M7LFV.pdf" display="https://www.diodes.com/datasheet/download/DMT35M7LFV.pdf"/>
    <hyperlink ref="C1488" r:id="rId_hyperlink_2974" tooltip="DMT35M7LFV" display="DMT35M7LFV"/>
    <hyperlink ref="B1489" r:id="rId_hyperlink_2975" tooltip="https://www.diodes.com/datasheet/download/DMT35M8LDG.pdf" display="https://www.diodes.com/datasheet/download/DMT35M8LDG.pdf"/>
    <hyperlink ref="C1489" r:id="rId_hyperlink_2976" tooltip="DMT35M8LDG" display="DMT35M8LDG"/>
    <hyperlink ref="B1490" r:id="rId_hyperlink_2977" tooltip="https://www.diodes.com/datasheet/download/DMT36M1LPS.pdf" display="https://www.diodes.com/datasheet/download/DMT36M1LPS.pdf"/>
    <hyperlink ref="C1490" r:id="rId_hyperlink_2978" tooltip="DMT36M1LPS" display="DMT36M1LPS"/>
    <hyperlink ref="B1491" r:id="rId_hyperlink_2979" tooltip="https://www.diodes.com/datasheet/download/DMT3M70LPSW.pdf" display="https://www.diodes.com/datasheet/download/DMT3M70LPSW.pdf"/>
    <hyperlink ref="C1491" r:id="rId_hyperlink_2980" tooltip="DMT3M70LPSW" display="DMT3M70LPSW"/>
    <hyperlink ref="B1492" r:id="rId_hyperlink_2981" tooltip="https://www.diodes.com/datasheet/download/DMT3M70LPSWQ.pdf" display="https://www.diodes.com/datasheet/download/DMT3M70LPSWQ.pdf"/>
    <hyperlink ref="C1492" r:id="rId_hyperlink_2982" tooltip="DMT3M70LPSWQ" display="DMT3M70LPSWQ"/>
    <hyperlink ref="B1493" r:id="rId_hyperlink_2983" tooltip="https://www.diodes.com/datasheet/download/DMT4002LPS.pdf" display="https://www.diodes.com/datasheet/download/DMT4002LPS.pdf"/>
    <hyperlink ref="C1493" r:id="rId_hyperlink_2984" tooltip="DMT4002LPS" display="DMT4002LPS"/>
    <hyperlink ref="B1494" r:id="rId_hyperlink_2985" tooltip="https://www.diodes.com/datasheet/download/DMT4003SCT.pdf" display="https://www.diodes.com/datasheet/download/DMT4003SCT.pdf"/>
    <hyperlink ref="C1494" r:id="rId_hyperlink_2986" tooltip="DMT4003SCT" display="DMT4003SCT"/>
    <hyperlink ref="B1495" r:id="rId_hyperlink_2987" tooltip="https://www.diodes.com/datasheet/download/DMT4004LPS.pdf" display="https://www.diodes.com/datasheet/download/DMT4004LPS.pdf"/>
    <hyperlink ref="C1495" r:id="rId_hyperlink_2988" tooltip="DMT4004LPS" display="DMT4004LPS"/>
    <hyperlink ref="B1496" r:id="rId_hyperlink_2989" tooltip="https://www.diodes.com/datasheet/download/DMT4005SCT.pdf" display="https://www.diodes.com/datasheet/download/DMT4005SCT.pdf"/>
    <hyperlink ref="C1496" r:id="rId_hyperlink_2990" tooltip="DMT4005SCT" display="DMT4005SCT"/>
    <hyperlink ref="B1497" r:id="rId_hyperlink_2991" tooltip="https://www.diodes.com/datasheet/download/DMT4008LFDF.pdf" display="https://www.diodes.com/datasheet/download/DMT4008LFDF.pdf"/>
    <hyperlink ref="C1497" r:id="rId_hyperlink_2992" tooltip="DMT4008LFDF" display="DMT4008LFDF"/>
    <hyperlink ref="B1498" r:id="rId_hyperlink_2993" tooltip="https://www.diodes.com/datasheet/download/DMT4008LFV.pdf" display="https://www.diodes.com/datasheet/download/DMT4008LFV.pdf"/>
    <hyperlink ref="C1498" r:id="rId_hyperlink_2994" tooltip="DMT4008LFV" display="DMT4008LFV"/>
    <hyperlink ref="B1499" r:id="rId_hyperlink_2995" tooltip="https://www.diodes.com/datasheet/download/DMT4008LSS.pdf" display="https://www.diodes.com/datasheet/download/DMT4008LSS.pdf"/>
    <hyperlink ref="C1499" r:id="rId_hyperlink_2996" tooltip="DMT4008LSS" display="DMT4008LSS"/>
    <hyperlink ref="B1500" r:id="rId_hyperlink_2997" tooltip="https://www.diodes.com/datasheet/download/DMT4011LFG.pdf" display="https://www.diodes.com/datasheet/download/DMT4011LFG.pdf"/>
    <hyperlink ref="C1500" r:id="rId_hyperlink_2998" tooltip="DMT4011LFG" display="DMT4011LFG"/>
    <hyperlink ref="B1501" r:id="rId_hyperlink_2999" tooltip="https://www.diodes.com/datasheet/download/DMT4011LSS.pdf" display="https://www.diodes.com/datasheet/download/DMT4011LSS.pdf"/>
    <hyperlink ref="C1501" r:id="rId_hyperlink_3000" tooltip="DMT4011LSS" display="DMT4011LSS"/>
    <hyperlink ref="B1502" r:id="rId_hyperlink_3001" tooltip="https://www.diodes.com/datasheet/download/DMT4014LDV.pdf" display="https://www.diodes.com/datasheet/download/DMT4014LDV.pdf"/>
    <hyperlink ref="C1502" r:id="rId_hyperlink_3002" tooltip="DMT4014LDV" display="DMT4014LDV"/>
    <hyperlink ref="B1503" r:id="rId_hyperlink_3003" tooltip="https://www.diodes.com/datasheet/download/DMT4015LDV.pdf" display="https://www.diodes.com/datasheet/download/DMT4015LDV.pdf"/>
    <hyperlink ref="C1503" r:id="rId_hyperlink_3004" tooltip="DMT4015LDV" display="DMT4015LDV"/>
    <hyperlink ref="B1504" r:id="rId_hyperlink_3005" tooltip="https://www.diodes.com/datasheet/download/DMT4031LFDF.pdf" display="https://www.diodes.com/datasheet/download/DMT4031LFDF.pdf"/>
    <hyperlink ref="C1504" r:id="rId_hyperlink_3006" tooltip="DMT4031LFDF" display="DMT4031LFDF"/>
    <hyperlink ref="B1505" r:id="rId_hyperlink_3007" tooltip="https://www.diodes.com/datasheet/download/DMT4031LSD.pdf" display="https://www.diodes.com/datasheet/download/DMT4031LSD.pdf"/>
    <hyperlink ref="C1505" r:id="rId_hyperlink_3008" tooltip="DMT4031LSD" display="DMT4031LSD"/>
    <hyperlink ref="B1506" r:id="rId_hyperlink_3009" tooltip="https://www.diodes.com/datasheet/download/DMT43M8LFV.pdf" display="https://www.diodes.com/datasheet/download/DMT43M8LFV.pdf"/>
    <hyperlink ref="C1506" r:id="rId_hyperlink_3010" tooltip="DMT43M8LFV" display="DMT43M8LFV"/>
    <hyperlink ref="B1507" r:id="rId_hyperlink_3011" tooltip="https://www.diodes.com/datasheet/download/DMT47M2LDV.pdf" display="https://www.diodes.com/datasheet/download/DMT47M2LDV.pdf"/>
    <hyperlink ref="C1507" r:id="rId_hyperlink_3012" tooltip="DMT47M2LDV" display="DMT47M2LDV"/>
    <hyperlink ref="B1508" r:id="rId_hyperlink_3013" tooltip="https://www.diodes.com/datasheet/download/DMT47M2LDVQ.pdf" display="https://www.diodes.com/datasheet/download/DMT47M2LDVQ.pdf"/>
    <hyperlink ref="C1508" r:id="rId_hyperlink_3014" tooltip="DMT47M2LDVQ" display="DMT47M2LDVQ"/>
    <hyperlink ref="B1509" r:id="rId_hyperlink_3015" tooltip="https://www.diodes.com/datasheet/download/DMT47M2SFVW.pdf" display="https://www.diodes.com/datasheet/download/DMT47M2SFVW.pdf"/>
    <hyperlink ref="C1509" r:id="rId_hyperlink_3016" tooltip="DMT47M2SFVW" display="DMT47M2SFVW"/>
    <hyperlink ref="B1510" r:id="rId_hyperlink_3017" tooltip="https://www.diodes.com/datasheet/download/DMT47M2SFVWQ.pdf" display="https://www.diodes.com/datasheet/download/DMT47M2SFVWQ.pdf"/>
    <hyperlink ref="C1510" r:id="rId_hyperlink_3018" tooltip="DMT47M2SFVWQ" display="DMT47M2SFVWQ"/>
    <hyperlink ref="B1511" r:id="rId_hyperlink_3019" tooltip="https://www.diodes.com/datasheet/download/DMT5012LFVW.pdf" display="https://www.diodes.com/datasheet/download/DMT5012LFVW.pdf"/>
    <hyperlink ref="C1511" r:id="rId_hyperlink_3020" tooltip="DMT5012LFVW" display="DMT5012LFVW"/>
    <hyperlink ref="B1512" r:id="rId_hyperlink_3021" tooltip="https://www.diodes.com/datasheet/download/DMT6002LPS.pdf" display="https://www.diodes.com/datasheet/download/DMT6002LPS.pdf"/>
    <hyperlink ref="C1512" r:id="rId_hyperlink_3022" tooltip="DMT6002LPS" display="DMT6002LPS"/>
    <hyperlink ref="B1513" r:id="rId_hyperlink_3023" tooltip="https://www.diodes.com/datasheet/download/DMT6004LPS.pdf" display="https://www.diodes.com/datasheet/download/DMT6004LPS.pdf"/>
    <hyperlink ref="C1513" r:id="rId_hyperlink_3024" tooltip="DMT6004LPS" display="DMT6004LPS"/>
    <hyperlink ref="B1514" r:id="rId_hyperlink_3025" tooltip="https://www.diodes.com/datasheet/download/DMT6004SCT.pdf" display="https://www.diodes.com/datasheet/download/DMT6004SCT.pdf"/>
    <hyperlink ref="C1514" r:id="rId_hyperlink_3026" tooltip="DMT6004SCT" display="DMT6004SCT"/>
    <hyperlink ref="B1515" r:id="rId_hyperlink_3027" tooltip="https://www.diodes.com/datasheet/download/DMT6004SPS.pdf" display="https://www.diodes.com/datasheet/download/DMT6004SPS.pdf"/>
    <hyperlink ref="C1515" r:id="rId_hyperlink_3028" tooltip="DMT6004SPS" display="DMT6004SPS"/>
    <hyperlink ref="B1516" r:id="rId_hyperlink_3029" tooltip="https://www.diodes.com/datasheet/download/DMT6005LCT.pdf" display="https://www.diodes.com/datasheet/download/DMT6005LCT.pdf"/>
    <hyperlink ref="C1516" r:id="rId_hyperlink_3030" tooltip="DMT6005LCT" display="DMT6005LCT"/>
    <hyperlink ref="B1517" r:id="rId_hyperlink_3031" tooltip="https://www.diodes.com/datasheet/download/DMT6005LFG.pdf" display="https://www.diodes.com/datasheet/download/DMT6005LFG.pdf"/>
    <hyperlink ref="C1517" r:id="rId_hyperlink_3032" tooltip="DMT6005LFG" display="DMT6005LFG"/>
    <hyperlink ref="B1518" r:id="rId_hyperlink_3033" tooltip="https://www.diodes.com/datasheet/download/DMT6005LPS.pdf" display="https://www.diodes.com/datasheet/download/DMT6005LPS.pdf"/>
    <hyperlink ref="C1518" r:id="rId_hyperlink_3034" tooltip="DMT6005LPS" display="DMT6005LPS"/>
    <hyperlink ref="B1519" r:id="rId_hyperlink_3035" tooltip="https://www.diodes.com/datasheet/download/DMT6005LSS.pdf" display="https://www.diodes.com/datasheet/download/DMT6005LSS.pdf"/>
    <hyperlink ref="C1519" r:id="rId_hyperlink_3036" tooltip="DMT6005LSS" display="DMT6005LSS"/>
    <hyperlink ref="B1520" r:id="rId_hyperlink_3037" tooltip="https://www.diodes.com/datasheet/download/DMT6006LK3.pdf" display="https://www.diodes.com/datasheet/download/DMT6006LK3.pdf"/>
    <hyperlink ref="C1520" r:id="rId_hyperlink_3038" tooltip="DMT6006LK3" display="DMT6006LK3"/>
    <hyperlink ref="B1521" r:id="rId_hyperlink_3039" tooltip="https://www.diodes.com/datasheet/download/DMT6006LSS.pdf" display="https://www.diodes.com/datasheet/download/DMT6006LSS.pdf"/>
    <hyperlink ref="C1521" r:id="rId_hyperlink_3040" tooltip="DMT6006LSS" display="DMT6006LSS"/>
    <hyperlink ref="B1522" r:id="rId_hyperlink_3041" tooltip="https://www.diodes.com/datasheet/download/DMT6006SPS.pdf" display="https://www.diodes.com/datasheet/download/DMT6006SPS.pdf"/>
    <hyperlink ref="C1522" r:id="rId_hyperlink_3042" tooltip="DMT6006SPS" display="DMT6006SPS"/>
    <hyperlink ref="B1523" r:id="rId_hyperlink_3043" tooltip="https://www.diodes.com/datasheet/download/DMT6007LFG.pdf" display="https://www.diodes.com/datasheet/download/DMT6007LFG.pdf"/>
    <hyperlink ref="C1523" r:id="rId_hyperlink_3044" tooltip="DMT6007LFG" display="DMT6007LFG"/>
    <hyperlink ref="B1524" r:id="rId_hyperlink_3045" tooltip="https://www.diodes.com/datasheet/download/DMT6007LFGQ.pdf" display="https://www.diodes.com/datasheet/download/DMT6007LFGQ.pdf"/>
    <hyperlink ref="C1524" r:id="rId_hyperlink_3046" tooltip="DMT6007LFGQ" display="DMT6007LFGQ"/>
    <hyperlink ref="B1525" r:id="rId_hyperlink_3047" tooltip="https://www.diodes.com/datasheet/download/DMT6008LFG.pdf" display="https://www.diodes.com/datasheet/download/DMT6008LFG.pdf"/>
    <hyperlink ref="C1525" r:id="rId_hyperlink_3048" tooltip="DMT6008LFG" display="DMT6008LFG"/>
    <hyperlink ref="B1526" r:id="rId_hyperlink_3049" tooltip="https://www.diodes.com/datasheet/download/DMT6009LCT.pdf" display="https://www.diodes.com/datasheet/download/DMT6009LCT.pdf"/>
    <hyperlink ref="C1526" r:id="rId_hyperlink_3050" tooltip="DMT6009LCT" display="DMT6009LCT"/>
    <hyperlink ref="B1527" r:id="rId_hyperlink_3051" tooltip="https://www.diodes.com/datasheet/download/DMT6009LFG.pdf" display="https://www.diodes.com/datasheet/download/DMT6009LFG.pdf"/>
    <hyperlink ref="C1527" r:id="rId_hyperlink_3052" tooltip="DMT6009LFG" display="DMT6009LFG"/>
    <hyperlink ref="B1528" r:id="rId_hyperlink_3053" tooltip="https://www.diodes.com/datasheet/download/DMT6009LK3.pdf" display="https://www.diodes.com/datasheet/download/DMT6009LK3.pdf"/>
    <hyperlink ref="C1528" r:id="rId_hyperlink_3054" tooltip="DMT6009LK3" display="DMT6009LK3"/>
    <hyperlink ref="B1529" r:id="rId_hyperlink_3055" tooltip="https://www.diodes.com/datasheet/download/DMT6009LPS.pdf" display="https://www.diodes.com/datasheet/download/DMT6009LPS.pdf"/>
    <hyperlink ref="C1529" r:id="rId_hyperlink_3056" tooltip="DMT6009LPS" display="DMT6009LPS"/>
    <hyperlink ref="B1530" r:id="rId_hyperlink_3057" tooltip="https://www.diodes.com/datasheet/download/DMT6009LSS.pdf" display="https://www.diodes.com/datasheet/download/DMT6009LSS.pdf"/>
    <hyperlink ref="C1530" r:id="rId_hyperlink_3058" tooltip="DMT6009LSS" display="DMT6009LSS"/>
    <hyperlink ref="B1531" r:id="rId_hyperlink_3059" tooltip="https://www.diodes.com/datasheet/download/DMT6010LFG.pdf" display="https://www.diodes.com/datasheet/download/DMT6010LFG.pdf"/>
    <hyperlink ref="C1531" r:id="rId_hyperlink_3060" tooltip="DMT6010LFG" display="DMT6010LFG"/>
    <hyperlink ref="B1532" r:id="rId_hyperlink_3061" tooltip="https://www.diodes.com/datasheet/download/DMT6010LPS.pdf" display="https://www.diodes.com/datasheet/download/DMT6010LPS.pdf"/>
    <hyperlink ref="C1532" r:id="rId_hyperlink_3062" tooltip="DMT6010LPS" display="DMT6010LPS"/>
    <hyperlink ref="B1533" r:id="rId_hyperlink_3063" tooltip="https://www.diodes.com/datasheet/download/DMT6010LSS.pdf" display="https://www.diodes.com/datasheet/download/DMT6010LSS.pdf"/>
    <hyperlink ref="C1533" r:id="rId_hyperlink_3064" tooltip="DMT6010LSS" display="DMT6010LSS"/>
    <hyperlink ref="B1534" r:id="rId_hyperlink_3065" tooltip="https://www.diodes.com/datasheet/download/DMT6010SCT.pdf" display="https://www.diodes.com/datasheet/download/DMT6010SCT.pdf"/>
    <hyperlink ref="C1534" r:id="rId_hyperlink_3066" tooltip="DMT6010SCT" display="DMT6010SCT"/>
    <hyperlink ref="B1535" r:id="rId_hyperlink_3067" tooltip="https://www.diodes.com/datasheet/download/DMT6011LPDW.pdf" display="https://www.diodes.com/datasheet/download/DMT6011LPDW.pdf"/>
    <hyperlink ref="C1535" r:id="rId_hyperlink_3068" tooltip="DMT6011LPDW" display="DMT6011LPDW"/>
    <hyperlink ref="B1536" r:id="rId_hyperlink_3069" tooltip="https://www.diodes.com/datasheet/download/DMT6011LSS.pdf" display="https://www.diodes.com/datasheet/download/DMT6011LSS.pdf"/>
    <hyperlink ref="C1536" r:id="rId_hyperlink_3070" tooltip="DMT6011LSS" display="DMT6011LSS"/>
    <hyperlink ref="B1537" r:id="rId_hyperlink_3071" tooltip="https://www.diodes.com/datasheet/download/DMT6012LFDF.pdf" display="https://www.diodes.com/datasheet/download/DMT6012LFDF.pdf"/>
    <hyperlink ref="C1537" r:id="rId_hyperlink_3072" tooltip="DMT6012LFDF" display="DMT6012LFDF"/>
    <hyperlink ref="B1538" r:id="rId_hyperlink_3073" tooltip="https://www.diodes.com/datasheet/download/DMT6012LFV.pdf" display="https://www.diodes.com/datasheet/download/DMT6012LFV.pdf"/>
    <hyperlink ref="C1538" r:id="rId_hyperlink_3074" tooltip="DMT6012LFV" display="DMT6012LFV"/>
    <hyperlink ref="B1539" r:id="rId_hyperlink_3075" tooltip="https://www.diodes.com/datasheet/download/DMT6012LPSW.pdf" display="https://www.diodes.com/datasheet/download/DMT6012LPSW.pdf"/>
    <hyperlink ref="C1539" r:id="rId_hyperlink_3076" tooltip="DMT6012LPSW" display="DMT6012LPSW"/>
    <hyperlink ref="B1540" r:id="rId_hyperlink_3077" tooltip="https://www.diodes.com/datasheet/download/DMT6012LSS.pdf" display="https://www.diodes.com/datasheet/download/DMT6012LSS.pdf"/>
    <hyperlink ref="C1540" r:id="rId_hyperlink_3078" tooltip="DMT6012LSS" display="DMT6012LSS"/>
    <hyperlink ref="B1541" r:id="rId_hyperlink_3079" tooltip="https://www.diodes.com/datasheet/download/DMT6013LFDF.pdf" display="https://www.diodes.com/datasheet/download/DMT6013LFDF.pdf"/>
    <hyperlink ref="C1541" r:id="rId_hyperlink_3080" tooltip="DMT6013LFDF" display="DMT6013LFDF"/>
    <hyperlink ref="B1542" r:id="rId_hyperlink_3081" tooltip="https://www.diodes.com/datasheet/download/DMT6013LSS.pdf" display="https://www.diodes.com/datasheet/download/DMT6013LSS.pdf"/>
    <hyperlink ref="C1542" r:id="rId_hyperlink_3082" tooltip="DMT6013LSS" display="DMT6013LSS"/>
    <hyperlink ref="B1543" r:id="rId_hyperlink_3083" tooltip="https://www.diodes.com/datasheet/download/DMT6015LFV.pdf" display="https://www.diodes.com/datasheet/download/DMT6015LFV.pdf"/>
    <hyperlink ref="C1543" r:id="rId_hyperlink_3084" tooltip="DMT6015LFV" display="DMT6015LFV"/>
    <hyperlink ref="B1544" r:id="rId_hyperlink_3085" tooltip="https://www.diodes.com/datasheet/download/DMT6015LFVW.pdf" display="https://www.diodes.com/datasheet/download/DMT6015LFVW.pdf"/>
    <hyperlink ref="C1544" r:id="rId_hyperlink_3086" tooltip="DMT6015LFVW" display="DMT6015LFVW"/>
    <hyperlink ref="B1545" r:id="rId_hyperlink_3087" tooltip="https://www.diodes.com/datasheet/download/DMT6015LPDW.pdf" display="https://www.diodes.com/datasheet/download/DMT6015LPDW.pdf"/>
    <hyperlink ref="C1545" r:id="rId_hyperlink_3088" tooltip="DMT6015LPDW" display="DMT6015LPDW"/>
    <hyperlink ref="B1546" r:id="rId_hyperlink_3089" tooltip="https://www.diodes.com/datasheet/download/DMT6015LPS.pdf" display="https://www.diodes.com/datasheet/download/DMT6015LPS.pdf"/>
    <hyperlink ref="C1546" r:id="rId_hyperlink_3090" tooltip="DMT6015LPS" display="DMT6015LPS"/>
    <hyperlink ref="B1547" r:id="rId_hyperlink_3091" tooltip="https://www.diodes.com/datasheet/download/DMT6015LSS.pdf" display="https://www.diodes.com/datasheet/download/DMT6015LSS.pdf"/>
    <hyperlink ref="C1547" r:id="rId_hyperlink_3092" tooltip="DMT6015LSS" display="DMT6015LSS"/>
    <hyperlink ref="B1548" r:id="rId_hyperlink_3093" tooltip="https://www.diodes.com/datasheet/download/DMT6016LFDF.pdf" display="https://www.diodes.com/datasheet/download/DMT6016LFDF.pdf"/>
    <hyperlink ref="C1548" r:id="rId_hyperlink_3094" tooltip="DMT6016LFDF" display="DMT6016LFDF"/>
    <hyperlink ref="B1549" r:id="rId_hyperlink_3095" tooltip="https://www.diodes.com/datasheet/download/DMT6016LPS.pdf" display="https://www.diodes.com/datasheet/download/DMT6016LPS.pdf"/>
    <hyperlink ref="C1549" r:id="rId_hyperlink_3096" tooltip="DMT6016LPS" display="DMT6016LPS"/>
    <hyperlink ref="B1550" r:id="rId_hyperlink_3097" tooltip="https://www.diodes.com/datasheet/download/DMT6016LPSW.pdf" display="https://www.diodes.com/datasheet/download/DMT6016LPSW.pdf"/>
    <hyperlink ref="C1550" r:id="rId_hyperlink_3098" tooltip="DMT6016LPSW" display="DMT6016LPSW"/>
    <hyperlink ref="B1551" r:id="rId_hyperlink_3099" tooltip="https://www.diodes.com/datasheet/download/DMT6016LSS.pdf" display="https://www.diodes.com/datasheet/download/DMT6016LSS.pdf"/>
    <hyperlink ref="C1551" r:id="rId_hyperlink_3100" tooltip="DMT6016LSS" display="DMT6016LSS"/>
    <hyperlink ref="B1552" r:id="rId_hyperlink_3101" tooltip="https://www.diodes.com/datasheet/download/DMT6017LDV.pdf" display="https://www.diodes.com/datasheet/download/DMT6017LDV.pdf"/>
    <hyperlink ref="C1552" r:id="rId_hyperlink_3102" tooltip="DMT6017LDV" display="DMT6017LDV"/>
    <hyperlink ref="B1553" r:id="rId_hyperlink_3103" tooltip="https://www.diodes.com/datasheet/download/DMT6017LFDF.pdf" display="https://www.diodes.com/datasheet/download/DMT6017LFDF.pdf"/>
    <hyperlink ref="C1553" r:id="rId_hyperlink_3104" tooltip="DMT6017LFDF" display="DMT6017LFDF"/>
    <hyperlink ref="B1554" r:id="rId_hyperlink_3105" tooltip="https://www.diodes.com/datasheet/download/DMT6017LFV.pdf" display="https://www.diodes.com/datasheet/download/DMT6017LFV.pdf"/>
    <hyperlink ref="C1554" r:id="rId_hyperlink_3106" tooltip="DMT6017LFV" display="DMT6017LFV"/>
    <hyperlink ref="B1555" r:id="rId_hyperlink_3107" tooltip="https://www.diodes.com/datasheet/download/DMT6017LSS.pdf" display="https://www.diodes.com/datasheet/download/DMT6017LSS.pdf"/>
    <hyperlink ref="C1555" r:id="rId_hyperlink_3108" tooltip="DMT6017LSS" display="DMT6017LSS"/>
    <hyperlink ref="B1556" r:id="rId_hyperlink_3109" tooltip="https://www.diodes.com/datasheet/download/DMT6018LDR.pdf" display="https://www.diodes.com/datasheet/download/DMT6018LDR.pdf"/>
    <hyperlink ref="C1556" r:id="rId_hyperlink_3110" tooltip="DMT6018LDR" display="DMT6018LDR"/>
    <hyperlink ref="B1557" r:id="rId_hyperlink_3111" tooltip="https://www.diodes.com/datasheet/download/DMT6030LFCL.pdf" display="https://www.diodes.com/datasheet/download/DMT6030LFCL.pdf"/>
    <hyperlink ref="C1557" r:id="rId_hyperlink_3112" tooltip="DMT6030LFCL" display="DMT6030LFCL"/>
    <hyperlink ref="B1558" r:id="rId_hyperlink_3113" tooltip="https://www.diodes.com/datasheet/download/DMT6030LFDF.pdf" display="https://www.diodes.com/datasheet/download/DMT6030LFDF.pdf"/>
    <hyperlink ref="C1558" r:id="rId_hyperlink_3114" tooltip="DMT6030LFDF" display="DMT6030LFDF"/>
    <hyperlink ref="B1559" r:id="rId_hyperlink_3115" tooltip="https://www.diodes.com/datasheet/download/DMT615MLFV.pdf" display="https://www.diodes.com/datasheet/download/DMT615MLFV.pdf"/>
    <hyperlink ref="C1559" r:id="rId_hyperlink_3116" tooltip="DMT615MLFV" display="DMT615MLFV"/>
    <hyperlink ref="B1560" r:id="rId_hyperlink_3117" tooltip="https://www.diodes.com/datasheet/download/DMT616MLSS.pdf" display="https://www.diodes.com/datasheet/download/DMT616MLSS.pdf"/>
    <hyperlink ref="C1560" r:id="rId_hyperlink_3118" tooltip="DMT616MLSS" display="DMT616MLSS"/>
    <hyperlink ref="B1561" r:id="rId_hyperlink_3119" tooltip="https://www.diodes.com/datasheet/download/DMT61M5SPSW.pdf" display="https://www.diodes.com/datasheet/download/DMT61M5SPSW.pdf"/>
    <hyperlink ref="C1561" r:id="rId_hyperlink_3120" tooltip="DMT61M5SPSW" display="DMT61M5SPSW"/>
    <hyperlink ref="B1562" r:id="rId_hyperlink_3121" tooltip="https://www.diodes.com/datasheet/download/DMT61M8SPS.pdf" display="https://www.diodes.com/datasheet/download/DMT61M8SPS.pdf"/>
    <hyperlink ref="C1562" r:id="rId_hyperlink_3122" tooltip="DMT61M8SPS" display="DMT61M8SPS"/>
    <hyperlink ref="B1563" r:id="rId_hyperlink_3123" tooltip="https://www.diodes.com/datasheet/download/DMT62M7SPSW.pdf" display="https://www.diodes.com/datasheet/download/DMT62M7SPSW.pdf"/>
    <hyperlink ref="C1563" r:id="rId_hyperlink_3124" tooltip="DMT62M7SPSW" display="DMT62M7SPSW"/>
    <hyperlink ref="B1564" r:id="rId_hyperlink_3125" tooltip="https://www.diodes.com/datasheet/download/DMT63M5LFG.pdf" display="https://www.diodes.com/datasheet/download/DMT63M5LFG.pdf"/>
    <hyperlink ref="C1564" r:id="rId_hyperlink_3126" tooltip="DMT63M5LFG" display="DMT63M5LFG"/>
    <hyperlink ref="B1565" r:id="rId_hyperlink_3127" tooltip="https://www.diodes.com/datasheet/download/DMT64M1LCG.pdf" display="https://www.diodes.com/datasheet/download/DMT64M1LCG.pdf"/>
    <hyperlink ref="C1565" r:id="rId_hyperlink_3128" tooltip="DMT64M1LCG" display="DMT64M1LCG"/>
    <hyperlink ref="B1566" r:id="rId_hyperlink_3129" tooltip="https://www.diodes.com/datasheet/download/DMT64M1LPSW.pdf" display="https://www.diodes.com/datasheet/download/DMT64M1LPSW.pdf"/>
    <hyperlink ref="C1566" r:id="rId_hyperlink_3130" tooltip="DMT64M1LPSW" display="DMT64M1LPSW"/>
    <hyperlink ref="B1567" r:id="rId_hyperlink_3131" tooltip="https://www.diodes.com/datasheet/download/DMT64M2LPSW.pdf" display="https://www.diodes.com/datasheet/download/DMT64M2LPSW.pdf"/>
    <hyperlink ref="C1567" r:id="rId_hyperlink_3132" tooltip="DMT64M2LPSW" display="DMT64M2LPSW"/>
    <hyperlink ref="B1568" r:id="rId_hyperlink_3133" tooltip="https://www.diodes.com/datasheet/download/DMT64M8LCG.pdf" display="https://www.diodes.com/datasheet/download/DMT64M8LCG.pdf"/>
    <hyperlink ref="C1568" r:id="rId_hyperlink_3134" tooltip="DMT64M8LCG" display="DMT64M8LCG"/>
    <hyperlink ref="B1569" r:id="rId_hyperlink_3135" tooltip="https://www.diodes.com/datasheet/download/DMT64M8LSS.pdf" display="https://www.diodes.com/datasheet/download/DMT64M8LSS.pdf"/>
    <hyperlink ref="C1569" r:id="rId_hyperlink_3136" tooltip="DMT64M8LSS" display="DMT64M8LSS"/>
    <hyperlink ref="B1570" r:id="rId_hyperlink_3137" tooltip="https://www.diodes.com/datasheet/download/DMT67M8LCG.pdf" display="https://www.diodes.com/datasheet/download/DMT67M8LCG.pdf"/>
    <hyperlink ref="C1570" r:id="rId_hyperlink_3138" tooltip="DMT67M8LCG" display="DMT67M8LCG"/>
    <hyperlink ref="B1571" r:id="rId_hyperlink_3139" tooltip="https://www.diodes.com/datasheet/download/DMT67M8LCGQ.pdf" display="https://www.diodes.com/datasheet/download/DMT67M8LCGQ.pdf"/>
    <hyperlink ref="C1571" r:id="rId_hyperlink_3140" tooltip="DMT67M8LCGQ" display="DMT67M8LCGQ"/>
    <hyperlink ref="B1572" r:id="rId_hyperlink_3141" tooltip="https://www.diodes.com/datasheet/download/DMT67M8LK3.pdf" display="https://www.diodes.com/datasheet/download/DMT67M8LK3.pdf"/>
    <hyperlink ref="C1572" r:id="rId_hyperlink_3142" tooltip="DMT67M8LK3" display="DMT67M8LK3"/>
    <hyperlink ref="B1573" r:id="rId_hyperlink_3143" tooltip="https://www.diodes.com/datasheet/download/DMT67M8LPSW.pdf" display="https://www.diodes.com/datasheet/download/DMT67M8LPSW.pdf"/>
    <hyperlink ref="C1573" r:id="rId_hyperlink_3144" tooltip="DMT67M8LPSW" display="DMT67M8LPSW"/>
    <hyperlink ref="B1574" r:id="rId_hyperlink_3145" tooltip="https://www.diodes.com/datasheet/download/DMT67M8LSS.pdf" display="https://www.diodes.com/datasheet/download/DMT67M8LSS.pdf"/>
    <hyperlink ref="C1574" r:id="rId_hyperlink_3146" tooltip="DMT67M8LSS" display="DMT67M8LSS"/>
    <hyperlink ref="B1575" r:id="rId_hyperlink_3147" tooltip="https://www.diodes.com/datasheet/download/DMT68M8LFV.pdf" display="https://www.diodes.com/datasheet/download/DMT68M8LFV.pdf"/>
    <hyperlink ref="C1575" r:id="rId_hyperlink_3148" tooltip="DMT68M8LFV" display="DMT68M8LFV"/>
    <hyperlink ref="B1576" r:id="rId_hyperlink_3149" tooltip="https://www.diodes.com/datasheet/download/DMT68M8LPS.pdf" display="https://www.diodes.com/datasheet/download/DMT68M8LPS.pdf"/>
    <hyperlink ref="C1576" r:id="rId_hyperlink_3150" tooltip="DMT68M8LPS" display="DMT68M8LPS"/>
    <hyperlink ref="B1577" r:id="rId_hyperlink_3151" tooltip="https://www.diodes.com/datasheet/download/DMT68M8LSS.pdf" display="https://www.diodes.com/datasheet/download/DMT68M8LSS.pdf"/>
    <hyperlink ref="C1577" r:id="rId_hyperlink_3152" tooltip="DMT68M8LSS" display="DMT68M8LSS"/>
    <hyperlink ref="B1578" r:id="rId_hyperlink_3153" tooltip="https://www.diodes.com/datasheet/download/DMT69M5LCG.pdf" display="https://www.diodes.com/datasheet/download/DMT69M5LCG.pdf"/>
    <hyperlink ref="C1578" r:id="rId_hyperlink_3154" tooltip="DMT69M5LCG" display="DMT69M5LCG"/>
    <hyperlink ref="B1579" r:id="rId_hyperlink_3155" tooltip="https://www.diodes.com/datasheet/download/DMT69M5LFVW.pdf" display="https://www.diodes.com/datasheet/download/DMT69M5LFVW.pdf"/>
    <hyperlink ref="C1579" r:id="rId_hyperlink_3156" tooltip="DMT69M5LFVW" display="DMT69M5LFVW"/>
    <hyperlink ref="B1580" r:id="rId_hyperlink_3157" tooltip="https://www.diodes.com/datasheet/download/DMT69M5LFVWQ.pdf" display="https://www.diodes.com/datasheet/download/DMT69M5LFVWQ.pdf"/>
    <hyperlink ref="C1580" r:id="rId_hyperlink_3158" tooltip="DMT69M5LFVWQ" display="DMT69M5LFVWQ"/>
    <hyperlink ref="B1581" r:id="rId_hyperlink_3159" tooltip="https://www.diodes.com/datasheet/download/DMT69M5LH3.pdf" display="https://www.diodes.com/datasheet/download/DMT69M5LH3.pdf"/>
    <hyperlink ref="C1581" r:id="rId_hyperlink_3160" tooltip="DMT69M5LH3" display="DMT69M5LH3"/>
    <hyperlink ref="B1582" r:id="rId_hyperlink_3161" tooltip="https://www.diodes.com/datasheet/download/DMT69M8LFV.pdf" display="https://www.diodes.com/datasheet/download/DMT69M8LFV.pdf"/>
    <hyperlink ref="C1582" r:id="rId_hyperlink_3162" tooltip="DMT69M8LFV" display="DMT69M8LFV"/>
    <hyperlink ref="B1583" r:id="rId_hyperlink_3163" tooltip="https://www.diodes.com/datasheet/download/DMT69M9LPDW.pdf" display="https://www.diodes.com/datasheet/download/DMT69M9LPDW.pdf"/>
    <hyperlink ref="C1583" r:id="rId_hyperlink_3164" tooltip="DMT69M9LPDW" display="DMT69M9LPDW"/>
    <hyperlink ref="B1584" r:id="rId_hyperlink_3165" tooltip="https://www.diodes.com/datasheet/download/DMT8003SPSW.pdf" display="https://www.diodes.com/datasheet/download/DMT8003SPSW.pdf"/>
    <hyperlink ref="C1584" r:id="rId_hyperlink_3166" tooltip="DMT8003SPSW" display="DMT8003SPSW"/>
    <hyperlink ref="B1585" r:id="rId_hyperlink_3167" tooltip="https://www.diodes.com/datasheet/download/DMT8003SPSWQ.pdf" display="https://www.diodes.com/datasheet/download/DMT8003SPSWQ.pdf"/>
    <hyperlink ref="C1585" r:id="rId_hyperlink_3168" tooltip="DMT8003SPSWQ" display="DMT8003SPSWQ"/>
    <hyperlink ref="B1586" r:id="rId_hyperlink_3169" tooltip="https://www.diodes.com/datasheet/download/DMT8007LPSW.pdf" display="https://www.diodes.com/datasheet/download/DMT8007LPSW.pdf"/>
    <hyperlink ref="C1586" r:id="rId_hyperlink_3170" tooltip="DMT8007LPSW" display="DMT8007LPSW"/>
    <hyperlink ref="B1587" r:id="rId_hyperlink_3171" tooltip="https://www.diodes.com/datasheet/download/DMT8008LFG.pdf" display="https://www.diodes.com/datasheet/download/DMT8008LFG.pdf"/>
    <hyperlink ref="C1587" r:id="rId_hyperlink_3172" tooltip="DMT8008LFG" display="DMT8008LFG"/>
    <hyperlink ref="B1588" r:id="rId_hyperlink_3173" tooltip="https://www.diodes.com/datasheet/download/DMT8008LK3.pdf" display="https://www.diodes.com/datasheet/download/DMT8008LK3.pdf"/>
    <hyperlink ref="C1588" r:id="rId_hyperlink_3174" tooltip="DMT8008LK3" display="DMT8008LK3"/>
    <hyperlink ref="B1589" r:id="rId_hyperlink_3175" tooltip="https://www.diodes.com/datasheet/download/DMT8008LPS.pdf" display="https://www.diodes.com/datasheet/download/DMT8008LPS.pdf"/>
    <hyperlink ref="C1589" r:id="rId_hyperlink_3176" tooltip="DMT8008LPS" display="DMT8008LPS"/>
    <hyperlink ref="B1590" r:id="rId_hyperlink_3177" tooltip="https://www.diodes.com/datasheet/download/DMT8008LSS.pdf" display="https://www.diodes.com/datasheet/download/DMT8008LSS.pdf"/>
    <hyperlink ref="C1590" r:id="rId_hyperlink_3178" tooltip="DMT8008LSS" display="DMT8008LSS"/>
    <hyperlink ref="B1591" r:id="rId_hyperlink_3179" tooltip="https://www.diodes.com/datasheet/download/DMT8008SCT.pdf" display="https://www.diodes.com/datasheet/download/DMT8008SCT.pdf"/>
    <hyperlink ref="C1591" r:id="rId_hyperlink_3180" tooltip="DMT8008SCT" display="DMT8008SCT"/>
    <hyperlink ref="B1592" r:id="rId_hyperlink_3181" tooltip="https://www.diodes.com/datasheet/download/DMT8008SK3.pdf" display="https://www.diodes.com/datasheet/download/DMT8008SK3.pdf"/>
    <hyperlink ref="C1592" r:id="rId_hyperlink_3182" tooltip="DMT8008SK3" display="DMT8008SK3"/>
    <hyperlink ref="B1593" r:id="rId_hyperlink_3183" tooltip="https://www.diodes.com/datasheet/download/DMT8008SPS.pdf" display="https://www.diodes.com/datasheet/download/DMT8008SPS.pdf"/>
    <hyperlink ref="C1593" r:id="rId_hyperlink_3184" tooltip="DMT8008SPS" display="DMT8008SPS"/>
    <hyperlink ref="B1594" r:id="rId_hyperlink_3185" tooltip="https://www.diodes.com/datasheet/download/DMT8012LFG.pdf" display="https://www.diodes.com/datasheet/download/DMT8012LFG.pdf"/>
    <hyperlink ref="C1594" r:id="rId_hyperlink_3186" tooltip="DMT8012LFG" display="DMT8012LFG"/>
    <hyperlink ref="B1595" r:id="rId_hyperlink_3187" tooltip="https://www.diodes.com/datasheet/download/DMT8012LK3.pdf" display="https://www.diodes.com/datasheet/download/DMT8012LK3.pdf"/>
    <hyperlink ref="C1595" r:id="rId_hyperlink_3188" tooltip="DMT8012LK3" display="DMT8012LK3"/>
    <hyperlink ref="B1596" r:id="rId_hyperlink_3189" tooltip="https://www.diodes.com/datasheet/download/DMT8012LPS.pdf" display="https://www.diodes.com/datasheet/download/DMT8012LPS.pdf"/>
    <hyperlink ref="C1596" r:id="rId_hyperlink_3190" tooltip="DMT8012LPS" display="DMT8012LPS"/>
    <hyperlink ref="B1597" r:id="rId_hyperlink_3191" tooltip="https://www.diodes.com/datasheet/download/DMT8012LSS.pdf" display="https://www.diodes.com/datasheet/download/DMT8012LSS.pdf"/>
    <hyperlink ref="C1597" r:id="rId_hyperlink_3192" tooltip="DMT8012LSS" display="DMT8012LSS"/>
    <hyperlink ref="B1598" r:id="rId_hyperlink_3193" tooltip="https://www.diodes.com/datasheet/download/DMT8020LDG.pdf" display="https://www.diodes.com/datasheet/download/DMT8020LDG.pdf"/>
    <hyperlink ref="C1598" r:id="rId_hyperlink_3194" tooltip="DMT8020LDG" display="DMT8020LDG"/>
    <hyperlink ref="B1599" r:id="rId_hyperlink_3195" tooltip="https://www.diodes.com/datasheet/download/DMT8030LFDF.pdf" display="https://www.diodes.com/datasheet/download/DMT8030LFDF.pdf"/>
    <hyperlink ref="C1599" r:id="rId_hyperlink_3196" tooltip="DMT8030LFDF" display="DMT8030LFDF"/>
    <hyperlink ref="B1600" r:id="rId_hyperlink_3197" tooltip="https://www.diodes.com/datasheet/download/DMTH10H003SPSW.pdf" display="https://www.diodes.com/datasheet/download/DMTH10H003SPSW.pdf"/>
    <hyperlink ref="C1600" r:id="rId_hyperlink_3198" tooltip="DMTH10H003SPSW" display="DMTH10H003SPSW"/>
    <hyperlink ref="B1601" r:id="rId_hyperlink_3199" tooltip="https://www.diodes.com/datasheet/download/DMTH10H005LCT.pdf" display="https://www.diodes.com/datasheet/download/DMTH10H005LCT.pdf"/>
    <hyperlink ref="C1601" r:id="rId_hyperlink_3200" tooltip="DMTH10H005LCT" display="DMTH10H005LCT"/>
    <hyperlink ref="B1602" r:id="rId_hyperlink_3201" tooltip="https://www.diodes.com/datasheet/download/DMTH10H005SCT.pdf" display="https://www.diodes.com/datasheet/download/DMTH10H005SCT.pdf"/>
    <hyperlink ref="C1602" r:id="rId_hyperlink_3202" tooltip="DMTH10H005SCT" display="DMTH10H005SCT"/>
    <hyperlink ref="B1603" r:id="rId_hyperlink_3203" tooltip="https://www.diodes.com/datasheet/download/DMTH10H009LFG.pdf" display="https://www.diodes.com/datasheet/download/DMTH10H009LFG.pdf"/>
    <hyperlink ref="C1603" r:id="rId_hyperlink_3204" tooltip="DMTH10H009LFG" display="DMTH10H009LFG"/>
    <hyperlink ref="B1604" r:id="rId_hyperlink_3205" tooltip="https://www.diodes.com/datasheet/download/DMTH10H009LFGQ.pdf" display="https://www.diodes.com/datasheet/download/DMTH10H009LFGQ.pdf"/>
    <hyperlink ref="C1604" r:id="rId_hyperlink_3206" tooltip="DMTH10H009LFGQ" display="DMTH10H009LFGQ"/>
    <hyperlink ref="B1605" r:id="rId_hyperlink_3207" tooltip="https://www.diodes.com/datasheet/download/DMTH10H009LPS.pdf" display="https://www.diodes.com/datasheet/download/DMTH10H009LPS.pdf"/>
    <hyperlink ref="C1605" r:id="rId_hyperlink_3208" tooltip="DMTH10H009LPS" display="DMTH10H009LPS"/>
    <hyperlink ref="B1606" r:id="rId_hyperlink_3209" tooltip="https://www.diodes.com/datasheet/download/DMTH10H009LPSQ.pdf" display="https://www.diodes.com/datasheet/download/DMTH10H009LPSQ.pdf"/>
    <hyperlink ref="C1606" r:id="rId_hyperlink_3210" tooltip="DMTH10H009LPSQ" display="DMTH10H009LPSQ"/>
    <hyperlink ref="B1607" r:id="rId_hyperlink_3211" tooltip="https://www.diodes.com/datasheet/download/DMTH10H009SPS.pdf" display="https://www.diodes.com/datasheet/download/DMTH10H009SPS.pdf"/>
    <hyperlink ref="C1607" r:id="rId_hyperlink_3212" tooltip="DMTH10H009SPS" display="DMTH10H009SPS"/>
    <hyperlink ref="B1608" r:id="rId_hyperlink_3213" tooltip="https://www.diodes.com/datasheet/download/DMTH10H009SPSQ.pdf" display="https://www.diodes.com/datasheet/download/DMTH10H009SPSQ.pdf"/>
    <hyperlink ref="C1608" r:id="rId_hyperlink_3214" tooltip="DMTH10H009SPSQ" display="DMTH10H009SPSQ"/>
    <hyperlink ref="B1609" r:id="rId_hyperlink_3215" tooltip="https://www.diodes.com/datasheet/download/DMTH10H010LCT.pdf" display="https://www.diodes.com/datasheet/download/DMTH10H010LCT.pdf"/>
    <hyperlink ref="C1609" r:id="rId_hyperlink_3216" tooltip="DMTH10H010LCT" display="DMTH10H010LCT"/>
    <hyperlink ref="B1610" r:id="rId_hyperlink_3217" tooltip="https://www.diodes.com/datasheet/download/DMTH10H010LCTB.pdf" display="https://www.diodes.com/datasheet/download/DMTH10H010LCTB.pdf"/>
    <hyperlink ref="C1610" r:id="rId_hyperlink_3218" tooltip="DMTH10H010LCTB" display="DMTH10H010LCTB"/>
    <hyperlink ref="B1611" r:id="rId_hyperlink_3219" tooltip="https://www.diodes.com/datasheet/download/DMTH10H010LPS.pdf" display="https://www.diodes.com/datasheet/download/DMTH10H010LPS.pdf"/>
    <hyperlink ref="C1611" r:id="rId_hyperlink_3220" tooltip="DMTH10H010LPS" display="DMTH10H010LPS"/>
    <hyperlink ref="B1612" r:id="rId_hyperlink_3221" tooltip="https://www.diodes.com/datasheet/download/DMTH10H010SCT.pdf" display="https://www.diodes.com/datasheet/download/DMTH10H010SCT.pdf"/>
    <hyperlink ref="C1612" r:id="rId_hyperlink_3222" tooltip="DMTH10H010SCT" display="DMTH10H010SCT"/>
    <hyperlink ref="B1613" r:id="rId_hyperlink_3223" tooltip="https://www.diodes.com/datasheet/download/DMTH10H010SPS.pdf" display="https://www.diodes.com/datasheet/download/DMTH10H010SPS.pdf"/>
    <hyperlink ref="C1613" r:id="rId_hyperlink_3224" tooltip="DMTH10H010SPS" display="DMTH10H010SPS"/>
    <hyperlink ref="B1614" r:id="rId_hyperlink_3225" tooltip="https://www.diodes.com/datasheet/download/DMTH10H010SPSQ.pdf" display="https://www.diodes.com/datasheet/download/DMTH10H010SPSQ.pdf"/>
    <hyperlink ref="C1614" r:id="rId_hyperlink_3226" tooltip="DMTH10H010SPSQ" display="DMTH10H010SPSQ"/>
    <hyperlink ref="B1615" r:id="rId_hyperlink_3227" tooltip="https://www.diodes.com/datasheet/download/DMTH10H010SPSWQ.pdf" display="https://www.diodes.com/datasheet/download/DMTH10H010SPSWQ.pdf"/>
    <hyperlink ref="C1615" r:id="rId_hyperlink_3228" tooltip="DMTH10H010SPSWQ" display="DMTH10H010SPSWQ"/>
    <hyperlink ref="B1616" r:id="rId_hyperlink_3229" tooltip="https://www.diodes.com/datasheet/download/DMTH10H015LK3.pdf" display="https://www.diodes.com/datasheet/download/DMTH10H015LK3.pdf"/>
    <hyperlink ref="C1616" r:id="rId_hyperlink_3230" tooltip="DMTH10H015LK3" display="DMTH10H015LK3"/>
    <hyperlink ref="B1617" r:id="rId_hyperlink_3231" tooltip="https://www.diodes.com/datasheet/download/DMTH10H015LPS.pdf" display="https://www.diodes.com/datasheet/download/DMTH10H015LPS.pdf"/>
    <hyperlink ref="C1617" r:id="rId_hyperlink_3232" tooltip="DMTH10H015LPS" display="DMTH10H015LPS"/>
    <hyperlink ref="B1618" r:id="rId_hyperlink_3233" tooltip="https://www.diodes.com/datasheet/download/DMTH10H015LPSWQ.pdf" display="https://www.diodes.com/datasheet/download/DMTH10H015LPSWQ.pdf"/>
    <hyperlink ref="C1618" r:id="rId_hyperlink_3234" tooltip="DMTH10H015LPSWQ" display="DMTH10H015LPSWQ"/>
    <hyperlink ref="B1619" r:id="rId_hyperlink_3235" tooltip="https://www.diodes.com/datasheet/download/DMTH10H015SK3.pdf" display="https://www.diodes.com/datasheet/download/DMTH10H015SK3.pdf"/>
    <hyperlink ref="C1619" r:id="rId_hyperlink_3236" tooltip="DMTH10H015SK3" display="DMTH10H015SK3"/>
    <hyperlink ref="B1620" r:id="rId_hyperlink_3237" tooltip="https://www.diodes.com/datasheet/download/DMTH10H015SK3Q.pdf" display="https://www.diodes.com/datasheet/download/DMTH10H015SK3Q.pdf"/>
    <hyperlink ref="C1620" r:id="rId_hyperlink_3238" tooltip="DMTH10H015SK3Q" display="DMTH10H015SK3Q"/>
    <hyperlink ref="B1621" r:id="rId_hyperlink_3239" tooltip="https://www.diodes.com/datasheet/download/DMTH10H015SPS.pdf" display="https://www.diodes.com/datasheet/download/DMTH10H015SPS.pdf"/>
    <hyperlink ref="C1621" r:id="rId_hyperlink_3240" tooltip="DMTH10H015SPS" display="DMTH10H015SPS"/>
    <hyperlink ref="B1622" r:id="rId_hyperlink_3241" tooltip="https://www.diodes.com/datasheet/download/DMTH10H015SPSQ.pdf" display="https://www.diodes.com/datasheet/download/DMTH10H015SPSQ.pdf"/>
    <hyperlink ref="C1622" r:id="rId_hyperlink_3242" tooltip="DMTH10H015SPSQ" display="DMTH10H015SPSQ"/>
    <hyperlink ref="B1623" r:id="rId_hyperlink_3243" tooltip="https://www.diodes.com/datasheet/download/DMTH10H015SPSW.pdf" display="https://www.diodes.com/datasheet/download/DMTH10H015SPSW.pdf"/>
    <hyperlink ref="C1623" r:id="rId_hyperlink_3244" tooltip="DMTH10H015SPSW" display="DMTH10H015SPSW"/>
    <hyperlink ref="B1624" r:id="rId_hyperlink_3245" tooltip="https://www.diodes.com/datasheet/download/DMTH10H015SPSWQ.pdf" display="https://www.diodes.com/datasheet/download/DMTH10H015SPSWQ.pdf"/>
    <hyperlink ref="C1624" r:id="rId_hyperlink_3246" tooltip="DMTH10H015SPSWQ" display="DMTH10H015SPSWQ"/>
    <hyperlink ref="B1625" r:id="rId_hyperlink_3247" tooltip="https://www.diodes.com/datasheet/download/DMTH10H017LPD.pdf" display="https://www.diodes.com/datasheet/download/DMTH10H017LPD.pdf"/>
    <hyperlink ref="C1625" r:id="rId_hyperlink_3248" tooltip="DMTH10H017LPD" display="DMTH10H017LPD"/>
    <hyperlink ref="B1626" r:id="rId_hyperlink_3249" tooltip="https://www.diodes.com/datasheet/download/DMTH10H017LPDQ.pdf" display="https://www.diodes.com/datasheet/download/DMTH10H017LPDQ.pdf"/>
    <hyperlink ref="C1626" r:id="rId_hyperlink_3250" tooltip="DMTH10H017LPDQ" display="DMTH10H017LPDQ"/>
    <hyperlink ref="B1627" r:id="rId_hyperlink_3251" tooltip="https://www.diodes.com/datasheet/download/DMTH10H025LK3.pdf" display="https://www.diodes.com/datasheet/download/DMTH10H025LK3.pdf"/>
    <hyperlink ref="C1627" r:id="rId_hyperlink_3252" tooltip="DMTH10H025LK3" display="DMTH10H025LK3"/>
    <hyperlink ref="B1628" r:id="rId_hyperlink_3253" tooltip="https://www.diodes.com/datasheet/download/DMTH10H025LK3Q.pdf" display="https://www.diodes.com/datasheet/download/DMTH10H025LK3Q.pdf"/>
    <hyperlink ref="C1628" r:id="rId_hyperlink_3254" tooltip="DMTH10H025LK3Q" display="DMTH10H025LK3Q"/>
    <hyperlink ref="B1629" r:id="rId_hyperlink_3255" tooltip="https://www.diodes.com/datasheet/download/DMTH10H025LPDW.pdf" display="https://www.diodes.com/datasheet/download/DMTH10H025LPDW.pdf"/>
    <hyperlink ref="C1629" r:id="rId_hyperlink_3256" tooltip="DMTH10H025LPDW" display="DMTH10H025LPDW"/>
    <hyperlink ref="B1630" r:id="rId_hyperlink_3257" tooltip="https://www.diodes.com/datasheet/download/DMTH10H025LPDWQ.pdf" display="https://www.diodes.com/datasheet/download/DMTH10H025LPDWQ.pdf"/>
    <hyperlink ref="C1630" r:id="rId_hyperlink_3258" tooltip="DMTH10H025LPDWQ" display="DMTH10H025LPDWQ"/>
    <hyperlink ref="B1631" r:id="rId_hyperlink_3259" tooltip="https://www.diodes.com/datasheet/download/DMTH10H025LPS.pdf" display="https://www.diodes.com/datasheet/download/DMTH10H025LPS.pdf"/>
    <hyperlink ref="C1631" r:id="rId_hyperlink_3260" tooltip="DMTH10H025LPS" display="DMTH10H025LPS"/>
    <hyperlink ref="B1632" r:id="rId_hyperlink_3261" tooltip="https://www.diodes.com/datasheet/download/DMTH10H025LPSQ+.pdf" display="https://www.diodes.com/datasheet/download/DMTH10H025LPSQ+.pdf"/>
    <hyperlink ref="C1632" r:id="rId_hyperlink_3262" tooltip="DMTH10H025LPSQ" display="DMTH10H025LPSQ"/>
    <hyperlink ref="B1633" r:id="rId_hyperlink_3263" tooltip="https://www.diodes.com/datasheet/download/DMTH10H025LPSWQ.pdf" display="https://www.diodes.com/datasheet/download/DMTH10H025LPSWQ.pdf"/>
    <hyperlink ref="C1633" r:id="rId_hyperlink_3264" tooltip="DMTH10H025LPSWQ" display="DMTH10H025LPSWQ"/>
    <hyperlink ref="B1634" r:id="rId_hyperlink_3265" tooltip="https://www.diodes.com/datasheet/download/DMTH10H025SK3.pdf" display="https://www.diodes.com/datasheet/download/DMTH10H025SK3.pdf"/>
    <hyperlink ref="C1634" r:id="rId_hyperlink_3266" tooltip="DMTH10H025SK3" display="DMTH10H025SK3"/>
    <hyperlink ref="B1635" r:id="rId_hyperlink_3267" tooltip="https://www.diodes.com/datasheet/download/DMTH10H032LDVW.pdf" display="https://www.diodes.com/datasheet/download/DMTH10H032LDVW.pdf"/>
    <hyperlink ref="C1635" r:id="rId_hyperlink_3268" tooltip="DMTH10H032LDVW" display="DMTH10H032LDVW"/>
    <hyperlink ref="B1636" r:id="rId_hyperlink_3269" tooltip="https://www.diodes.com/datasheet/download/DMTH10H032LDVWQ.pdf" display="https://www.diodes.com/datasheet/download/DMTH10H032LDVWQ.pdf"/>
    <hyperlink ref="C1636" r:id="rId_hyperlink_3270" tooltip="DMTH10H032LDVWQ" display="DMTH10H032LDVWQ"/>
    <hyperlink ref="B1637" r:id="rId_hyperlink_3271" tooltip="https://www.diodes.com/datasheet/download/DMTH10H032LFVW.pdf" display="https://www.diodes.com/datasheet/download/DMTH10H032LFVW.pdf"/>
    <hyperlink ref="C1637" r:id="rId_hyperlink_3272" tooltip="DMTH10H032LFVW" display="DMTH10H032LFVW"/>
    <hyperlink ref="B1638" r:id="rId_hyperlink_3273" tooltip="https://www.diodes.com/datasheet/download/DMTH10H032LFVWQ.pdf" display="https://www.diodes.com/datasheet/download/DMTH10H032LFVWQ.pdf"/>
    <hyperlink ref="C1638" r:id="rId_hyperlink_3274" tooltip="DMTH10H032LFVWQ" display="DMTH10H032LFVWQ"/>
    <hyperlink ref="B1639" r:id="rId_hyperlink_3275" tooltip="https://www.diodes.com/datasheet/download/DMTH10H032LPDW.pdf" display="https://www.diodes.com/datasheet/download/DMTH10H032LPDW.pdf"/>
    <hyperlink ref="C1639" r:id="rId_hyperlink_3276" tooltip="DMTH10H032LPDW" display="DMTH10H032LPDW"/>
    <hyperlink ref="B1640" r:id="rId_hyperlink_3277" tooltip="https://www.diodes.com/datasheet/download/DMTH10H032LPDWQ.pdf" display="https://www.diodes.com/datasheet/download/DMTH10H032LPDWQ.pdf"/>
    <hyperlink ref="C1640" r:id="rId_hyperlink_3278" tooltip="DMTH10H032LPDWQ" display="DMTH10H032LPDWQ"/>
    <hyperlink ref="B1641" r:id="rId_hyperlink_3279" tooltip="https://www.diodes.com/datasheet/download/DMTH10H032LPSW.pdf" display="https://www.diodes.com/datasheet/download/DMTH10H032LPSW.pdf"/>
    <hyperlink ref="C1641" r:id="rId_hyperlink_3280" tooltip="DMTH10H032LPSW" display="DMTH10H032LPSW"/>
    <hyperlink ref="B1642" r:id="rId_hyperlink_3281" tooltip="https://www.diodes.com/datasheet/download/DMTH10H032LPSWQ.pdf" display="https://www.diodes.com/datasheet/download/DMTH10H032LPSWQ.pdf"/>
    <hyperlink ref="C1642" r:id="rId_hyperlink_3282" tooltip="DMTH10H032LPSWQ" display="DMTH10H032LPSWQ"/>
    <hyperlink ref="B1643" r:id="rId_hyperlink_3283" tooltip="https://www.diodes.com/datasheet/download/DMTH10H032SDVW.pdf" display="https://www.diodes.com/datasheet/download/DMTH10H032SDVW.pdf"/>
    <hyperlink ref="C1643" r:id="rId_hyperlink_3284" tooltip="DMTH10H032SDVW" display="DMTH10H032SDVW"/>
    <hyperlink ref="B1644" r:id="rId_hyperlink_3285" tooltip="https://www.diodes.com/datasheet/download/DMTH10H032SDVWQ.pdf" display="https://www.diodes.com/datasheet/download/DMTH10H032SDVWQ.pdf"/>
    <hyperlink ref="C1644" r:id="rId_hyperlink_3286" tooltip="DMTH10H032SDVWQ" display="DMTH10H032SDVWQ"/>
    <hyperlink ref="B1645" r:id="rId_hyperlink_3287" tooltip="https://www.diodes.com/datasheet/download/DMTH10H032SPSW.pdf" display="https://www.diodes.com/datasheet/download/DMTH10H032SPSW.pdf"/>
    <hyperlink ref="C1645" r:id="rId_hyperlink_3288" tooltip="DMTH10H032SPSW" display="DMTH10H032SPSW"/>
    <hyperlink ref="B1646" r:id="rId_hyperlink_3289" tooltip="https://www.diodes.com/datasheet/download/DMTH10H032SPSWQ.pdf" display="https://www.diodes.com/datasheet/download/DMTH10H032SPSWQ.pdf"/>
    <hyperlink ref="C1646" r:id="rId_hyperlink_3290" tooltip="DMTH10H032SPSWQ" display="DMTH10H032SPSWQ"/>
    <hyperlink ref="B1647" r:id="rId_hyperlink_3291" tooltip="https://www.diodes.com/datasheet/download/DMTH10H038SPDW.pdf" display="https://www.diodes.com/datasheet/download/DMTH10H038SPDW.pdf"/>
    <hyperlink ref="C1647" r:id="rId_hyperlink_3292" tooltip="DMTH10H038SPDW" display="DMTH10H038SPDW"/>
    <hyperlink ref="B1648" r:id="rId_hyperlink_3293" tooltip="https://www.diodes.com/datasheet/download/DMTH10H038SPDWQ.pdf" display="https://www.diodes.com/datasheet/download/DMTH10H038SPDWQ.pdf"/>
    <hyperlink ref="C1648" r:id="rId_hyperlink_3294" tooltip="DMTH10H038SPDWQ" display="DMTH10H038SPDWQ"/>
    <hyperlink ref="B1649" r:id="rId_hyperlink_3295" tooltip="https://www.diodes.com/datasheet/download/DMTH10H071LFDFW.pdf" display="https://www.diodes.com/datasheet/download/DMTH10H071LFDFW.pdf"/>
    <hyperlink ref="C1649" r:id="rId_hyperlink_3296" tooltip="DMTH10H071LFDFW" display="DMTH10H071LFDFW"/>
    <hyperlink ref="B1650" r:id="rId_hyperlink_3297" tooltip="https://www.diodes.com/datasheet/download/DMTH10H071LFDFWQ.pdf" display="https://www.diodes.com/datasheet/download/DMTH10H071LFDFWQ.pdf"/>
    <hyperlink ref="C1650" r:id="rId_hyperlink_3298" tooltip="DMTH10H071LFDFWQ" display="DMTH10H071LFDFWQ"/>
    <hyperlink ref="B1651" r:id="rId_hyperlink_3299" tooltip="https://www.diodes.com/datasheet/download/DMTH10H072LPS.pdf" display="https://www.diodes.com/datasheet/download/DMTH10H072LPS.pdf"/>
    <hyperlink ref="C1651" r:id="rId_hyperlink_3300" tooltip="DMTH10H072LPS" display="DMTH10H072LPS"/>
    <hyperlink ref="B1652" r:id="rId_hyperlink_3301" tooltip="https://www.diodes.com/datasheet/download/DMTH10H1M7STLW.pdf" display="https://www.diodes.com/datasheet/download/DMTH10H1M7STLW.pdf"/>
    <hyperlink ref="C1652" r:id="rId_hyperlink_3302" tooltip="DMTH10H1M7STLW" display="DMTH10H1M7STLW"/>
    <hyperlink ref="B1653" r:id="rId_hyperlink_3303" tooltip="https://www.diodes.com/datasheet/download/DMTH10H1M7STLWQ.pdf" display="https://www.diodes.com/datasheet/download/DMTH10H1M7STLWQ.pdf"/>
    <hyperlink ref="C1653" r:id="rId_hyperlink_3304" tooltip="DMTH10H1M7STLWQ" display="DMTH10H1M7STLWQ"/>
    <hyperlink ref="B1654" r:id="rId_hyperlink_3305" tooltip="https://www.diodes.com/datasheet/download/DMTH10H2M2LPSW.pdf" display="https://www.diodes.com/datasheet/download/DMTH10H2M2LPSW.pdf"/>
    <hyperlink ref="C1654" r:id="rId_hyperlink_3306" tooltip="DMTH10H2M2LPSW" display="DMTH10H2M2LPSW"/>
    <hyperlink ref="B1655" r:id="rId_hyperlink_3307" tooltip="https://www.diodes.com/datasheet/download/DMTH10H2M2LPSWQ.pdf" display="https://www.diodes.com/datasheet/download/DMTH10H2M2LPSWQ.pdf"/>
    <hyperlink ref="C1655" r:id="rId_hyperlink_3308" tooltip="DMTH10H2M2LPSWQ" display="DMTH10H2M2LPSWQ"/>
    <hyperlink ref="B1656" r:id="rId_hyperlink_3309" tooltip="https://www.diodes.com/datasheet/download/DMTH10H2M5STLW.pdf" display="https://www.diodes.com/datasheet/download/DMTH10H2M5STLW.pdf"/>
    <hyperlink ref="C1656" r:id="rId_hyperlink_3310" tooltip="DMTH10H2M5STLW" display="DMTH10H2M5STLW"/>
    <hyperlink ref="B1657" r:id="rId_hyperlink_3311" tooltip="https://www.diodes.com/datasheet/download/DMTH10H2M5STLWQ.pdf" display="https://www.diodes.com/datasheet/download/DMTH10H2M5STLWQ.pdf"/>
    <hyperlink ref="C1657" r:id="rId_hyperlink_3312" tooltip="DMTH10H2M5STLWQ" display="DMTH10H2M5STLWQ"/>
    <hyperlink ref="B1658" r:id="rId_hyperlink_3313" tooltip="https://www.diodes.com/datasheet/download/DMTH10H4M5LPS.pdf" display="https://www.diodes.com/datasheet/download/DMTH10H4M5LPS.pdf"/>
    <hyperlink ref="C1658" r:id="rId_hyperlink_3314" tooltip="DMTH10H4M5LPS" display="DMTH10H4M5LPS"/>
    <hyperlink ref="B1659" r:id="rId_hyperlink_3315" tooltip="https://www.diodes.com/datasheet/download/DMTH10H4M5LPSW.pdf" display="https://www.diodes.com/datasheet/download/DMTH10H4M5LPSW.pdf"/>
    <hyperlink ref="C1659" r:id="rId_hyperlink_3316" tooltip="DMTH10H4M5LPSW" display="DMTH10H4M5LPSW"/>
    <hyperlink ref="B1660" r:id="rId_hyperlink_3317" tooltip="https://www.diodes.com/datasheet/download/DMTH10H4M5LPSWQ.pdf" display="https://www.diodes.com/datasheet/download/DMTH10H4M5LPSWQ.pdf"/>
    <hyperlink ref="C1660" r:id="rId_hyperlink_3318" tooltip="DMTH10H4M5LPSWQ" display="DMTH10H4M5LPSWQ"/>
    <hyperlink ref="B1661" r:id="rId_hyperlink_3319" tooltip="https://www.diodes.com/datasheet/download/DMTH10H4M6SPS.pdf" display="https://www.diodes.com/datasheet/download/DMTH10H4M6SPS.pdf"/>
    <hyperlink ref="C1661" r:id="rId_hyperlink_3320" tooltip="DMTH10H4M6SPS" display="DMTH10H4M6SPS"/>
    <hyperlink ref="B1662" r:id="rId_hyperlink_3321" tooltip="https://www.diodes.com/datasheet/download/DMTH10H4M6SPSW.pdf" display="https://www.diodes.com/datasheet/download/DMTH10H4M6SPSW.pdf"/>
    <hyperlink ref="C1662" r:id="rId_hyperlink_3322" tooltip="DMTH10H4M6SPSW" display="DMTH10H4M6SPSW"/>
    <hyperlink ref="B1663" r:id="rId_hyperlink_3323" tooltip="https://www.diodes.com/datasheet/download/DMTH10H4M6SPSWQ.pdf" display="https://www.diodes.com/datasheet/download/DMTH10H4M6SPSWQ.pdf"/>
    <hyperlink ref="C1663" r:id="rId_hyperlink_3324" tooltip="DMTH10H4M6SPSWQ" display="DMTH10H4M6SPSWQ"/>
    <hyperlink ref="B1664" r:id="rId_hyperlink_3325" tooltip="https://www.diodes.com/datasheet/download/DMTH12H007SK3.pdf" display="https://www.diodes.com/datasheet/download/DMTH12H007SK3.pdf"/>
    <hyperlink ref="C1664" r:id="rId_hyperlink_3326" tooltip="DMTH12H007SK3" display="DMTH12H007SK3"/>
    <hyperlink ref="B1665" r:id="rId_hyperlink_3327" tooltip="https://www.diodes.com/datasheet/download/DMTH12H007SPS.pdf" display="https://www.diodes.com/datasheet/download/DMTH12H007SPS.pdf"/>
    <hyperlink ref="C1665" r:id="rId_hyperlink_3328" tooltip="DMTH12H007SPS" display="DMTH12H007SPS"/>
    <hyperlink ref="B1666" r:id="rId_hyperlink_3329" tooltip="https://www.diodes.com/datasheet/download/DMTH12H007SPSW.pdf" display="https://www.diodes.com/datasheet/download/DMTH12H007SPSW.pdf"/>
    <hyperlink ref="C1666" r:id="rId_hyperlink_3330" tooltip="DMTH12H007SPSW" display="DMTH12H007SPSW"/>
    <hyperlink ref="B1667" r:id="rId_hyperlink_3331" tooltip="https://www.diodes.com/datasheet/download/DMTH12H007SPSWQ.pdf" display="https://www.diodes.com/datasheet/download/DMTH12H007SPSWQ.pdf"/>
    <hyperlink ref="C1667" r:id="rId_hyperlink_3332" tooltip="DMTH12H007SPSWQ" display="DMTH12H007SPSWQ"/>
    <hyperlink ref="B1668" r:id="rId_hyperlink_3333" tooltip="https://www.diodes.com/datasheet/download/DMTH15H017LPSW.pdf" display="https://www.diodes.com/datasheet/download/DMTH15H017LPSW.pdf"/>
    <hyperlink ref="C1668" r:id="rId_hyperlink_3334" tooltip="DMTH15H017LPSW" display="DMTH15H017LPSW"/>
    <hyperlink ref="B1669" r:id="rId_hyperlink_3335" tooltip="https://www.diodes.com/datasheet/download/DMTH15H017LPSWQ.pdf" display="https://www.diodes.com/datasheet/download/DMTH15H017LPSWQ.pdf"/>
    <hyperlink ref="C1669" r:id="rId_hyperlink_3336" tooltip="DMTH15H017LPSWQ" display="DMTH15H017LPSWQ"/>
    <hyperlink ref="B1670" r:id="rId_hyperlink_3337" tooltip="https://www.diodes.com/datasheet/download/DMTH15H017SPS.pdf" display="https://www.diodes.com/datasheet/download/DMTH15H017SPS.pdf"/>
    <hyperlink ref="C1670" r:id="rId_hyperlink_3338" tooltip="DMTH15H017SPS" display="DMTH15H017SPS"/>
    <hyperlink ref="B1671" r:id="rId_hyperlink_3339" tooltip="https://www.diodes.com/datasheet/download/DMTH15H017SPSW.pdf" display="https://www.diodes.com/datasheet/download/DMTH15H017SPSW.pdf"/>
    <hyperlink ref="C1671" r:id="rId_hyperlink_3340" tooltip="DMTH15H017SPSW" display="DMTH15H017SPSW"/>
    <hyperlink ref="B1672" r:id="rId_hyperlink_3341" tooltip="https://www.diodes.com/datasheet/download/DMTH15H017SPSWQ.pdf" display="https://www.diodes.com/datasheet/download/DMTH15H017SPSWQ.pdf"/>
    <hyperlink ref="C1672" r:id="rId_hyperlink_3342" tooltip="DMTH15H017SPSWQ" display="DMTH15H017SPSWQ"/>
    <hyperlink ref="B1673" r:id="rId_hyperlink_3343" tooltip="https://www.diodes.com/datasheet/download/DMTH15H053SPSW.pdf" display="https://www.diodes.com/datasheet/download/DMTH15H053SPSW.pdf"/>
    <hyperlink ref="C1673" r:id="rId_hyperlink_3344" tooltip="DMTH15H053SPSW" display="DMTH15H053SPSW"/>
    <hyperlink ref="B1674" r:id="rId_hyperlink_3345" tooltip="https://www.diodes.com/datasheet/download/DMTH15H053SPSWQ.pdf" display="https://www.diodes.com/datasheet/download/DMTH15H053SPSWQ.pdf"/>
    <hyperlink ref="C1674" r:id="rId_hyperlink_3346" tooltip="DMTH15H053SPSWQ" display="DMTH15H053SPSWQ"/>
    <hyperlink ref="B1675" r:id="rId_hyperlink_3347" tooltip="https://www.diodes.com/datasheet/download/DMTH3002LK3.pdf" display="https://www.diodes.com/datasheet/download/DMTH3002LK3.pdf"/>
    <hyperlink ref="C1675" r:id="rId_hyperlink_3348" tooltip="DMTH3002LK3" display="DMTH3002LK3"/>
    <hyperlink ref="B1676" r:id="rId_hyperlink_3349" tooltip="https://www.diodes.com/datasheet/download/DMTH3002LPS.pdf" display="https://www.diodes.com/datasheet/download/DMTH3002LPS.pdf"/>
    <hyperlink ref="C1676" r:id="rId_hyperlink_3350" tooltip="DMTH3002LPS" display="DMTH3002LPS"/>
    <hyperlink ref="B1677" r:id="rId_hyperlink_3351" tooltip="https://www.diodes.com/datasheet/download/DMTH3004LFG.pdf" display="https://www.diodes.com/datasheet/download/DMTH3004LFG.pdf"/>
    <hyperlink ref="C1677" r:id="rId_hyperlink_3352" tooltip="DMTH3004LFG" display="DMTH3004LFG"/>
    <hyperlink ref="B1678" r:id="rId_hyperlink_3353" tooltip="https://www.diodes.com/datasheet/download/DMTH3004LFGQ.pdf" display="https://www.diodes.com/datasheet/download/DMTH3004LFGQ.pdf"/>
    <hyperlink ref="C1678" r:id="rId_hyperlink_3354" tooltip="DMTH3004LFGQ" display="DMTH3004LFGQ"/>
    <hyperlink ref="B1679" r:id="rId_hyperlink_3355" tooltip="https://www.diodes.com/datasheet/download/DMTH3004LK3.pdf" display="https://www.diodes.com/datasheet/download/DMTH3004LK3.pdf"/>
    <hyperlink ref="C1679" r:id="rId_hyperlink_3356" tooltip="DMTH3004LK3" display="DMTH3004LK3"/>
    <hyperlink ref="B1680" r:id="rId_hyperlink_3357" tooltip="https://www.diodes.com/datasheet/download/DMTH3004LK3Q.pdf" display="https://www.diodes.com/datasheet/download/DMTH3004LK3Q.pdf"/>
    <hyperlink ref="C1680" r:id="rId_hyperlink_3358" tooltip="DMTH3004LK3Q" display="DMTH3004LK3Q"/>
    <hyperlink ref="B1681" r:id="rId_hyperlink_3359" tooltip="https://www.diodes.com/datasheet/download/DMTH3004LPS.pdf" display="https://www.diodes.com/datasheet/download/DMTH3004LPS.pdf"/>
    <hyperlink ref="C1681" r:id="rId_hyperlink_3360" tooltip="DMTH3004LPS" display="DMTH3004LPS"/>
    <hyperlink ref="B1682" r:id="rId_hyperlink_3361" tooltip="https://www.diodes.com/datasheet/download/DMTH3004LPSQ.pdf" display="https://www.diodes.com/datasheet/download/DMTH3004LPSQ.pdf"/>
    <hyperlink ref="C1682" r:id="rId_hyperlink_3362" tooltip="DMTH3004LPSQ" display="DMTH3004LPSQ"/>
    <hyperlink ref="B1683" r:id="rId_hyperlink_3363" tooltip="https://www.diodes.com/datasheet/download/DMTH31M7LPSQ.pdf" display="https://www.diodes.com/datasheet/download/DMTH31M7LPSQ.pdf"/>
    <hyperlink ref="C1683" r:id="rId_hyperlink_3364" tooltip="DMTH31M7LPSQ" display="DMTH31M7LPSQ"/>
    <hyperlink ref="B1684" r:id="rId_hyperlink_3365" tooltip="https://www.diodes.com/datasheet/download/DMTH32M5LPS.pdf" display="https://www.diodes.com/datasheet/download/DMTH32M5LPS.pdf"/>
    <hyperlink ref="C1684" r:id="rId_hyperlink_3366" tooltip="DMTH32M5LPS" display="DMTH32M5LPS"/>
    <hyperlink ref="B1685" r:id="rId_hyperlink_3367" tooltip="https://www.diodes.com/datasheet/download/DMTH32M5LPSQ.pdf" display="https://www.diodes.com/datasheet/download/DMTH32M5LPSQ.pdf"/>
    <hyperlink ref="C1685" r:id="rId_hyperlink_3368" tooltip="DMTH32M5LPSQ" display="DMTH32M5LPSQ"/>
    <hyperlink ref="B1686" r:id="rId_hyperlink_3369" tooltip="https://www.diodes.com/datasheet/download/DMTH3M70LPSW.pdf" display="https://www.diodes.com/datasheet/download/DMTH3M70LPSW.pdf"/>
    <hyperlink ref="C1686" r:id="rId_hyperlink_3370" tooltip="DMTH3M70LPSW" display="DMTH3M70LPSW"/>
    <hyperlink ref="B1687" r:id="rId_hyperlink_3371" tooltip="https://www.diodes.com/datasheet/download/DMTH3M70LPSWQ.pdf" display="https://www.diodes.com/datasheet/download/DMTH3M70LPSWQ.pdf"/>
    <hyperlink ref="C1687" r:id="rId_hyperlink_3372" tooltip="DMTH3M70LPSWQ" display="DMTH3M70LPSWQ"/>
    <hyperlink ref="B1688" r:id="rId_hyperlink_3373" tooltip="https://www.diodes.com/datasheet/download/DMTH4001STLW.pdf" display="https://www.diodes.com/datasheet/download/DMTH4001STLW.pdf"/>
    <hyperlink ref="C1688" r:id="rId_hyperlink_3374" tooltip="DMTH4001STLW" display="DMTH4001STLW"/>
    <hyperlink ref="B1689" r:id="rId_hyperlink_3375" tooltip="https://www.diodes.com/datasheet/download/DMTH4001STLWQ.pdf" display="https://www.diodes.com/datasheet/download/DMTH4001STLWQ.pdf"/>
    <hyperlink ref="C1689" r:id="rId_hyperlink_3376" tooltip="DMTH4001STLWQ" display="DMTH4001STLWQ"/>
    <hyperlink ref="B1690" r:id="rId_hyperlink_3377" tooltip="https://www.diodes.com/datasheet/download/DMTH4002SCTB.pdf" display="https://www.diodes.com/datasheet/download/DMTH4002SCTB.pdf"/>
    <hyperlink ref="C1690" r:id="rId_hyperlink_3378" tooltip="DMTH4002SCTB" display="DMTH4002SCTB"/>
    <hyperlink ref="B1691" r:id="rId_hyperlink_3379" tooltip="https://www.diodes.com/datasheet/download/DMTH4002SCTBQ.pdf" display="https://www.diodes.com/datasheet/download/DMTH4002SCTBQ.pdf"/>
    <hyperlink ref="C1691" r:id="rId_hyperlink_3380" tooltip="DMTH4002SCTBQ" display="DMTH4002SCTBQ"/>
    <hyperlink ref="B1692" r:id="rId_hyperlink_3381" tooltip="https://www.diodes.com/datasheet/download/DMTH4004LK3.pdf" display="https://www.diodes.com/datasheet/download/DMTH4004LK3.pdf"/>
    <hyperlink ref="C1692" r:id="rId_hyperlink_3382" tooltip="DMTH4004LK3" display="DMTH4004LK3"/>
    <hyperlink ref="B1693" r:id="rId_hyperlink_3383" tooltip="https://www.diodes.com/datasheet/download/DMTH4004LK3Q.pdf" display="https://www.diodes.com/datasheet/download/DMTH4004LK3Q.pdf"/>
    <hyperlink ref="C1693" r:id="rId_hyperlink_3384" tooltip="DMTH4004LK3Q" display="DMTH4004LK3Q"/>
    <hyperlink ref="B1694" r:id="rId_hyperlink_3385" tooltip="https://www.diodes.com/datasheet/download/DMTH4004LPS.pdf" display="https://www.diodes.com/datasheet/download/DMTH4004LPS.pdf"/>
    <hyperlink ref="C1694" r:id="rId_hyperlink_3386" tooltip="DMTH4004LPS" display="DMTH4004LPS"/>
    <hyperlink ref="B1695" r:id="rId_hyperlink_3387" tooltip="https://www.diodes.com/datasheet/download/DMTH4004LPSQ.pdf" display="https://www.diodes.com/datasheet/download/DMTH4004LPSQ.pdf"/>
    <hyperlink ref="C1695" r:id="rId_hyperlink_3388" tooltip="DMTH4004LPSQ" display="DMTH4004LPSQ"/>
    <hyperlink ref="B1696" r:id="rId_hyperlink_3389" tooltip="https://www.diodes.com/datasheet/download/DMTH4004LPSWQ.pdf" display="https://www.diodes.com/datasheet/download/DMTH4004LPSWQ.pdf"/>
    <hyperlink ref="C1696" r:id="rId_hyperlink_3390" tooltip="DMTH4004LPSWQ" display="DMTH4004LPSWQ"/>
    <hyperlink ref="B1697" r:id="rId_hyperlink_3391" tooltip="https://www.diodes.com/datasheet/download/DMTH4004SCTB.pdf" display="https://www.diodes.com/datasheet/download/DMTH4004SCTB.pdf"/>
    <hyperlink ref="C1697" r:id="rId_hyperlink_3392" tooltip="DMTH4004SCTB" display="DMTH4004SCTB"/>
    <hyperlink ref="B1698" r:id="rId_hyperlink_3393" tooltip="https://www.diodes.com/datasheet/download/DMTH4004SCTBQ.pdf" display="https://www.diodes.com/datasheet/download/DMTH4004SCTBQ.pdf"/>
    <hyperlink ref="C1698" r:id="rId_hyperlink_3394" tooltip="DMTH4004SCTBQ" display="DMTH4004SCTBQ"/>
    <hyperlink ref="B1699" r:id="rId_hyperlink_3395" tooltip="https://www.diodes.com/datasheet/download/DMTH4004SK3.pdf" display="https://www.diodes.com/datasheet/download/DMTH4004SK3.pdf"/>
    <hyperlink ref="C1699" r:id="rId_hyperlink_3396" tooltip="DMTH4004SK3" display="DMTH4004SK3"/>
    <hyperlink ref="B1700" r:id="rId_hyperlink_3397" tooltip="https://www.diodes.com/datasheet/download/DMTH4004SK3Q.pdf" display="https://www.diodes.com/datasheet/download/DMTH4004SK3Q.pdf"/>
    <hyperlink ref="C1700" r:id="rId_hyperlink_3398" tooltip="DMTH4004SK3Q" display="DMTH4004SK3Q"/>
    <hyperlink ref="B1701" r:id="rId_hyperlink_3399" tooltip="https://www.diodes.com/datasheet/download/DMTH4004SPS.pdf" display="https://www.diodes.com/datasheet/download/DMTH4004SPS.pdf"/>
    <hyperlink ref="C1701" r:id="rId_hyperlink_3400" tooltip="DMTH4004SPS" display="DMTH4004SPS"/>
    <hyperlink ref="B1702" r:id="rId_hyperlink_3401" tooltip="https://www.diodes.com/datasheet/download/DMTH4004SPSQ.pdf" display="https://www.diodes.com/datasheet/download/DMTH4004SPSQ.pdf"/>
    <hyperlink ref="C1702" r:id="rId_hyperlink_3402" tooltip="DMTH4004SPSQ" display="DMTH4004SPSQ"/>
    <hyperlink ref="B1703" r:id="rId_hyperlink_3403" tooltip="https://www.diodes.com/datasheet/download/DMTH4004SPSWQ.pdf" display="https://www.diodes.com/datasheet/download/DMTH4004SPSWQ.pdf"/>
    <hyperlink ref="C1703" r:id="rId_hyperlink_3404" tooltip="DMTH4004SPSWQ" display="DMTH4004SPSWQ"/>
    <hyperlink ref="B1704" r:id="rId_hyperlink_3405" tooltip="https://www.diodes.com/datasheet/download/DMTH4005SCT.pdf" display="https://www.diodes.com/datasheet/download/DMTH4005SCT.pdf"/>
    <hyperlink ref="C1704" r:id="rId_hyperlink_3406" tooltip="DMTH4005SCT" display="DMTH4005SCT"/>
    <hyperlink ref="B1705" r:id="rId_hyperlink_3407" tooltip="https://www.diodes.com/datasheet/download/DMTH4005SK3.pdf" display="https://www.diodes.com/datasheet/download/DMTH4005SK3.pdf"/>
    <hyperlink ref="C1705" r:id="rId_hyperlink_3408" tooltip="DMTH4005SK3" display="DMTH4005SK3"/>
    <hyperlink ref="B1706" r:id="rId_hyperlink_3409" tooltip="https://www.diodes.com/datasheet/download/DMTH4005SK3Q.pdf" display="https://www.diodes.com/datasheet/download/DMTH4005SK3Q.pdf"/>
    <hyperlink ref="C1706" r:id="rId_hyperlink_3410" tooltip="DMTH4005SK3Q" display="DMTH4005SK3Q"/>
    <hyperlink ref="B1707" r:id="rId_hyperlink_3411" tooltip="https://www.diodes.com/datasheet/download/DMTH4005SPS.pdf" display="https://www.diodes.com/datasheet/download/DMTH4005SPS.pdf"/>
    <hyperlink ref="C1707" r:id="rId_hyperlink_3412" tooltip="DMTH4005SPS" display="DMTH4005SPS"/>
    <hyperlink ref="B1708" r:id="rId_hyperlink_3413" tooltip="https://www.diodes.com/datasheet/download/DMTH4005SPSQ.pdf" display="https://www.diodes.com/datasheet/download/DMTH4005SPSQ.pdf"/>
    <hyperlink ref="C1708" r:id="rId_hyperlink_3414" tooltip="DMTH4005SPSQ" display="DMTH4005SPSQ"/>
    <hyperlink ref="B1709" r:id="rId_hyperlink_3415" tooltip="https://www.diodes.com/datasheet/download/DMTH4005SPSWQ.pdf" display="https://www.diodes.com/datasheet/download/DMTH4005SPSWQ.pdf"/>
    <hyperlink ref="C1709" r:id="rId_hyperlink_3416" tooltip="DMTH4005SPSWQ" display="DMTH4005SPSWQ"/>
    <hyperlink ref="B1710" r:id="rId_hyperlink_3417" tooltip="https://www.diodes.com/datasheet/download/DMTH4007LK3.pdf" display="https://www.diodes.com/datasheet/download/DMTH4007LK3.pdf"/>
    <hyperlink ref="C1710" r:id="rId_hyperlink_3418" tooltip="DMTH4007LK3" display="DMTH4007LK3"/>
    <hyperlink ref="B1711" r:id="rId_hyperlink_3419" tooltip="https://www.diodes.com/datasheet/download/DMTH4007LK3Q.pdf" display="https://www.diodes.com/datasheet/download/DMTH4007LK3Q.pdf"/>
    <hyperlink ref="C1711" r:id="rId_hyperlink_3420" tooltip="DMTH4007LK3Q" display="DMTH4007LK3Q"/>
    <hyperlink ref="B1712" r:id="rId_hyperlink_3421" tooltip="https://www.diodes.com/datasheet/download/DMTH4007LPS.pdf" display="https://www.diodes.com/datasheet/download/DMTH4007LPS.pdf"/>
    <hyperlink ref="C1712" r:id="rId_hyperlink_3422" tooltip="DMTH4007LPS" display="DMTH4007LPS"/>
    <hyperlink ref="B1713" r:id="rId_hyperlink_3423" tooltip="https://www.diodes.com/datasheet/download/DMTH4007LPSQ.pdf" display="https://www.diodes.com/datasheet/download/DMTH4007LPSQ.pdf"/>
    <hyperlink ref="C1713" r:id="rId_hyperlink_3424" tooltip="DMTH4007LPSQ" display="DMTH4007LPSQ"/>
    <hyperlink ref="B1714" r:id="rId_hyperlink_3425" tooltip="https://www.diodes.com/datasheet/download/DMTH4007LPSWQ.pdf" display="https://www.diodes.com/datasheet/download/DMTH4007LPSWQ.pdf"/>
    <hyperlink ref="C1714" r:id="rId_hyperlink_3426" tooltip="DMTH4007LPSWQ" display="DMTH4007LPSWQ"/>
    <hyperlink ref="B1715" r:id="rId_hyperlink_3427" tooltip="https://www.diodes.com/datasheet/download/DMTH4007SK3.pdf" display="https://www.diodes.com/datasheet/download/DMTH4007SK3.pdf"/>
    <hyperlink ref="C1715" r:id="rId_hyperlink_3428" tooltip="DMTH4007SK3" display="DMTH4007SK3"/>
    <hyperlink ref="B1716" r:id="rId_hyperlink_3429" tooltip="https://www.diodes.com/datasheet/download/DMTH4007SPD.pdf" display="https://www.diodes.com/datasheet/download/DMTH4007SPD.pdf"/>
    <hyperlink ref="C1716" r:id="rId_hyperlink_3430" tooltip="DMTH4007SPD" display="DMTH4007SPD"/>
    <hyperlink ref="B1717" r:id="rId_hyperlink_3431" tooltip="https://www.diodes.com/datasheet/download/DMTH4007SPDQ.pdf" display="https://www.diodes.com/datasheet/download/DMTH4007SPDQ.pdf"/>
    <hyperlink ref="C1717" r:id="rId_hyperlink_3432" tooltip="DMTH4007SPDQ" display="DMTH4007SPDQ"/>
    <hyperlink ref="B1718" r:id="rId_hyperlink_3433" tooltip="https://www.diodes.com/datasheet/download/DMTH4007SPDWQ.pdf" display="https://www.diodes.com/datasheet/download/DMTH4007SPDWQ.pdf"/>
    <hyperlink ref="C1718" r:id="rId_hyperlink_3434" tooltip="DMTH4007SPDWQ" display="DMTH4007SPDWQ"/>
    <hyperlink ref="B1719" r:id="rId_hyperlink_3435" tooltip="https://www.diodes.com/datasheet/download/DMTH4007SPS.pdf" display="https://www.diodes.com/datasheet/download/DMTH4007SPS.pdf"/>
    <hyperlink ref="C1719" r:id="rId_hyperlink_3436" tooltip="DMTH4007SPS" display="DMTH4007SPS"/>
    <hyperlink ref="B1720" r:id="rId_hyperlink_3437" tooltip="https://www.diodes.com/datasheet/download/DMTH4007SPSQ.pdf" display="https://www.diodes.com/datasheet/download/DMTH4007SPSQ.pdf"/>
    <hyperlink ref="C1720" r:id="rId_hyperlink_3438" tooltip="DMTH4007SPSQ" display="DMTH4007SPSQ"/>
    <hyperlink ref="B1721" r:id="rId_hyperlink_3439" tooltip="https://www.diodes.com/datasheet/download/DMTH4007SPSWQ.pdf" display="https://www.diodes.com/datasheet/download/DMTH4007SPSWQ.pdf"/>
    <hyperlink ref="C1721" r:id="rId_hyperlink_3440" tooltip="DMTH4007SPSWQ" display="DMTH4007SPSWQ"/>
    <hyperlink ref="B1722" r:id="rId_hyperlink_3441" tooltip="https://www.diodes.com/datasheet/download/DMTH4008LFDFW.pdf" display="https://www.diodes.com/datasheet/download/DMTH4008LFDFW.pdf"/>
    <hyperlink ref="C1722" r:id="rId_hyperlink_3442" tooltip="DMTH4008LFDFW" display="DMTH4008LFDFW"/>
    <hyperlink ref="B1723" r:id="rId_hyperlink_3443" tooltip="https://www.diodes.com/datasheet/download/DMTH4008LFDFWQ.pdf" display="https://www.diodes.com/datasheet/download/DMTH4008LFDFWQ.pdf"/>
    <hyperlink ref="C1723" r:id="rId_hyperlink_3444" tooltip="DMTH4008LFDFWQ" display="DMTH4008LFDFWQ"/>
    <hyperlink ref="B1724" r:id="rId_hyperlink_3445" tooltip="https://www.diodes.com/datasheet/download/DMTH4008LPDW.pdf" display="https://www.diodes.com/datasheet/download/DMTH4008LPDW.pdf"/>
    <hyperlink ref="C1724" r:id="rId_hyperlink_3446" tooltip="DMTH4008LPDW" display="DMTH4008LPDW"/>
    <hyperlink ref="B1725" r:id="rId_hyperlink_3447" tooltip="https://www.diodes.com/datasheet/download/DMTH4008LPDWQ.pdf" display="https://www.diodes.com/datasheet/download/DMTH4008LPDWQ.pdf"/>
    <hyperlink ref="C1725" r:id="rId_hyperlink_3448" tooltip="DMTH4008LPDWQ" display="DMTH4008LPDWQ"/>
    <hyperlink ref="B1726" r:id="rId_hyperlink_3449" tooltip="https://www.diodes.com/datasheet/download/DMTH4008LPS.pdf" display="https://www.diodes.com/datasheet/download/DMTH4008LPS.pdf"/>
    <hyperlink ref="C1726" r:id="rId_hyperlink_3450" tooltip="DMTH4008LPS" display="DMTH4008LPS"/>
    <hyperlink ref="B1727" r:id="rId_hyperlink_3451" tooltip="https://www.diodes.com/datasheet/download/DMTH4008LPSQ.pdf" display="https://www.diodes.com/datasheet/download/DMTH4008LPSQ.pdf"/>
    <hyperlink ref="C1727" r:id="rId_hyperlink_3452" tooltip="DMTH4008LPSQ" display="DMTH4008LPSQ"/>
    <hyperlink ref="B1728" r:id="rId_hyperlink_3453" tooltip="https://www.diodes.com/datasheet/download/DMTH4008LPSWQ.pdf" display="https://www.diodes.com/datasheet/download/DMTH4008LPSWQ.pdf"/>
    <hyperlink ref="C1728" r:id="rId_hyperlink_3454" tooltip="DMTH4008LPSWQ" display="DMTH4008LPSWQ"/>
    <hyperlink ref="B1729" r:id="rId_hyperlink_3455" tooltip="https://www.diodes.com/datasheet/download/DMTH4011SPD.pdf" display="https://www.diodes.com/datasheet/download/DMTH4011SPD.pdf"/>
    <hyperlink ref="C1729" r:id="rId_hyperlink_3456" tooltip="DMTH4011SPD" display="DMTH4011SPD"/>
    <hyperlink ref="B1730" r:id="rId_hyperlink_3457" tooltip="https://www.diodes.com/datasheet/download/DMTH4011SPDQ.pdf" display="https://www.diodes.com/datasheet/download/DMTH4011SPDQ.pdf"/>
    <hyperlink ref="C1730" r:id="rId_hyperlink_3458" tooltip="DMTH4011SPDQ" display="DMTH4011SPDQ"/>
    <hyperlink ref="B1731" r:id="rId_hyperlink_3459" tooltip="https://www.diodes.com/datasheet/download/DMTH4011SPDWQ.pdf" display="https://www.diodes.com/datasheet/download/DMTH4011SPDWQ.pdf"/>
    <hyperlink ref="C1731" r:id="rId_hyperlink_3460" tooltip="DMTH4011SPDWQ" display="DMTH4011SPDWQ"/>
    <hyperlink ref="B1732" r:id="rId_hyperlink_3461" tooltip="https://www.diodes.com/datasheet/download/DMTH4014LDVW.pdf" display="https://www.diodes.com/datasheet/download/DMTH4014LDVW.pdf"/>
    <hyperlink ref="C1732" r:id="rId_hyperlink_3462" tooltip="DMTH4014LDVW" display="DMTH4014LDVW"/>
    <hyperlink ref="B1733" r:id="rId_hyperlink_3463" tooltip="https://www.diodes.com/datasheet/download/DMTH4014LDVWQ.pdf" display="https://www.diodes.com/datasheet/download/DMTH4014LDVWQ.pdf"/>
    <hyperlink ref="C1733" r:id="rId_hyperlink_3464" tooltip="DMTH4014LDVWQ" display="DMTH4014LDVWQ"/>
    <hyperlink ref="B1734" r:id="rId_hyperlink_3465" tooltip="https://www.diodes.com/datasheet/download/DMTH4014LFVW.pdf" display="https://www.diodes.com/datasheet/download/DMTH4014LFVW.pdf"/>
    <hyperlink ref="C1734" r:id="rId_hyperlink_3466" tooltip="DMTH4014LFVW" display="DMTH4014LFVW"/>
    <hyperlink ref="B1735" r:id="rId_hyperlink_3467" tooltip="https://www.diodes.com/datasheet/download/DMTH4014LFVWQ.pdf" display="https://www.diodes.com/datasheet/download/DMTH4014LFVWQ.pdf"/>
    <hyperlink ref="C1735" r:id="rId_hyperlink_3468" tooltip="DMTH4014LFVWQ" display="DMTH4014LFVWQ"/>
    <hyperlink ref="B1736" r:id="rId_hyperlink_3469" tooltip="https://www.diodes.com/datasheet/download/DMTH4014LPD.pdf" display="https://www.diodes.com/datasheet/download/DMTH4014LPD.pdf"/>
    <hyperlink ref="C1736" r:id="rId_hyperlink_3470" tooltip="DMTH4014LPD" display="DMTH4014LPD"/>
    <hyperlink ref="B1737" r:id="rId_hyperlink_3471" tooltip="https://www.diodes.com/datasheet/download/DMTH4014LPDQ.pdf" display="https://www.diodes.com/datasheet/download/DMTH4014LPDQ.pdf"/>
    <hyperlink ref="C1737" r:id="rId_hyperlink_3472" tooltip="DMTH4014LPDQ" display="DMTH4014LPDQ"/>
    <hyperlink ref="B1738" r:id="rId_hyperlink_3473" tooltip="https://www.diodes.com/datasheet/download/DMTH4014LPDWQ.pdf" display="https://www.diodes.com/datasheet/download/DMTH4014LPDWQ.pdf"/>
    <hyperlink ref="C1738" r:id="rId_hyperlink_3474" tooltip="DMTH4014LPDWQ" display="DMTH4014LPDWQ"/>
    <hyperlink ref="B1739" r:id="rId_hyperlink_3475" tooltip="https://www.diodes.com/datasheet/download/DMTH4014LPSW.pdf" display="https://www.diodes.com/datasheet/download/DMTH4014LPSW.pdf"/>
    <hyperlink ref="C1739" r:id="rId_hyperlink_3476" tooltip="DMTH4014LPSW" display="DMTH4014LPSW"/>
    <hyperlink ref="B1740" r:id="rId_hyperlink_3477" tooltip="https://www.diodes.com/datasheet/download/DMTH4014LPSWQ.pdf" display="https://www.diodes.com/datasheet/download/DMTH4014LPSWQ.pdf"/>
    <hyperlink ref="C1740" r:id="rId_hyperlink_3478" tooltip="DMTH4014LPSWQ" display="DMTH4014LPSWQ"/>
    <hyperlink ref="B1741" r:id="rId_hyperlink_3479" tooltip="https://www.diodes.com/datasheet/download/DMTH4014SPSW.pdf" display="https://www.diodes.com/datasheet/download/DMTH4014SPSW.pdf"/>
    <hyperlink ref="C1741" r:id="rId_hyperlink_3480" tooltip="DMTH4014SPSW" display="DMTH4014SPSW"/>
    <hyperlink ref="B1742" r:id="rId_hyperlink_3481" tooltip="https://www.diodes.com/datasheet/download/DMTH4014SPSWQ.pdf" display="https://www.diodes.com/datasheet/download/DMTH4014SPSWQ.pdf"/>
    <hyperlink ref="C1742" r:id="rId_hyperlink_3482" tooltip="DMTH4014SPSWQ" display="DMTH4014SPSWQ"/>
    <hyperlink ref="B1743" r:id="rId_hyperlink_3483" tooltip="https://www.diodes.com/datasheet/download/DMTH41M2SPS.pdf" display="https://www.diodes.com/datasheet/download/DMTH41M2SPS.pdf"/>
    <hyperlink ref="C1743" r:id="rId_hyperlink_3484" tooltip="DMTH41M2SPS" display="DMTH41M2SPS"/>
    <hyperlink ref="B1744" r:id="rId_hyperlink_3485" tooltip="https://www.diodes.com/datasheet/download/DMTH41M2SPSQ.pdf" display="https://www.diodes.com/datasheet/download/DMTH41M2SPSQ.pdf"/>
    <hyperlink ref="C1744" r:id="rId_hyperlink_3486" tooltip="DMTH41M2SPSQ" display="DMTH41M2SPSQ"/>
    <hyperlink ref="B1745" r:id="rId_hyperlink_3487" tooltip="https://www.diodes.com/datasheet/download/DMTH41M3LPSW.pdf" display="https://www.diodes.com/datasheet/download/DMTH41M3LPSW.pdf"/>
    <hyperlink ref="C1745" r:id="rId_hyperlink_3488" tooltip="DMTH41M3LPSW" display="DMTH41M3LPSW"/>
    <hyperlink ref="B1746" r:id="rId_hyperlink_3489" tooltip="https://www.diodes.com/datasheet/download/DMTH41M3LPSWQ.pdf" display="https://www.diodes.com/datasheet/download/DMTH41M3LPSWQ.pdf"/>
    <hyperlink ref="C1746" r:id="rId_hyperlink_3490" tooltip="DMTH41M3LPSWQ" display="DMTH41M3LPSWQ"/>
    <hyperlink ref="B1747" r:id="rId_hyperlink_3491" tooltip="https://www.diodes.com/datasheet/download/DMTH41M3SPSW.pdf" display="https://www.diodes.com/datasheet/download/DMTH41M3SPSW.pdf"/>
    <hyperlink ref="C1747" r:id="rId_hyperlink_3492" tooltip="DMTH41M3SPSW" display="DMTH41M3SPSW"/>
    <hyperlink ref="B1748" r:id="rId_hyperlink_3493" tooltip="https://www.diodes.com/datasheet/download/DMTH41M3SPSWQ.pdf" display="https://www.diodes.com/datasheet/download/DMTH41M3SPSWQ.pdf"/>
    <hyperlink ref="C1748" r:id="rId_hyperlink_3494" tooltip="DMTH41M3SPSWQ" display="DMTH41M3SPSWQ"/>
    <hyperlink ref="B1749" r:id="rId_hyperlink_3495" tooltip="https://www.diodes.com/datasheet/download/DMTH41M8SPS.pdf" display="https://www.diodes.com/datasheet/download/DMTH41M8SPS.pdf"/>
    <hyperlink ref="C1749" r:id="rId_hyperlink_3496" tooltip="DMTH41M8SPS" display="DMTH41M8SPS"/>
    <hyperlink ref="B1750" r:id="rId_hyperlink_3497" tooltip="https://www.diodes.com/datasheet/download/DMTH41M8SPSQ.pdf" display="https://www.diodes.com/datasheet/download/DMTH41M8SPSQ.pdf"/>
    <hyperlink ref="C1750" r:id="rId_hyperlink_3498" tooltip="DMTH41M8SPSQ" display="DMTH41M8SPSQ"/>
    <hyperlink ref="B1751" r:id="rId_hyperlink_3499" tooltip="https://www.diodes.com/datasheet/download/DMTH42M4SPS.pdf" display="https://www.diodes.com/datasheet/download/DMTH42M4SPS.pdf"/>
    <hyperlink ref="C1751" r:id="rId_hyperlink_3500" tooltip="DMTH42M4SPS" display="DMTH42M4SPS"/>
    <hyperlink ref="B1752" r:id="rId_hyperlink_3501" tooltip="https://www.diodes.com/datasheet/download/DMTH42M4SPSQ.pdf" display="https://www.diodes.com/datasheet/download/DMTH42M4SPSQ.pdf"/>
    <hyperlink ref="C1752" r:id="rId_hyperlink_3502" tooltip="DMTH42M4SPSQ" display="DMTH42M4SPSQ"/>
    <hyperlink ref="B1753" r:id="rId_hyperlink_3503" tooltip="https://www.diodes.com/datasheet/download/DMTH42M5LPSW.pdf" display="https://www.diodes.com/datasheet/download/DMTH42M5LPSW.pdf"/>
    <hyperlink ref="C1753" r:id="rId_hyperlink_3504" tooltip="DMTH42M5LPSW" display="DMTH42M5LPSW"/>
    <hyperlink ref="B1754" r:id="rId_hyperlink_3505" tooltip="https://www.diodes.com/datasheet/download/DMTH42M5LPSWQ.pdf" display="https://www.diodes.com/datasheet/download/DMTH42M5LPSWQ.pdf"/>
    <hyperlink ref="C1754" r:id="rId_hyperlink_3506" tooltip="DMTH42M5LPSWQ" display="DMTH42M5LPSWQ"/>
    <hyperlink ref="B1755" r:id="rId_hyperlink_3507" tooltip="https://www.diodes.com/datasheet/download/DMTH43M7LFG.pdf" display="https://www.diodes.com/datasheet/download/DMTH43M7LFG.pdf"/>
    <hyperlink ref="C1755" r:id="rId_hyperlink_3508" tooltip="DMTH43M7LFG" display="DMTH43M7LFG"/>
    <hyperlink ref="B1756" r:id="rId_hyperlink_3509" tooltip="https://www.diodes.com/datasheet/download/DMTH43M7LFGQ.pdf" display="https://www.diodes.com/datasheet/download/DMTH43M7LFGQ.pdf"/>
    <hyperlink ref="C1756" r:id="rId_hyperlink_3510" tooltip="DMTH43M7LFGQ" display="DMTH43M7LFGQ"/>
    <hyperlink ref="B1757" r:id="rId_hyperlink_3511" tooltip="https://www.diodes.com/datasheet/download/DMTH43M8LFG.pdf" display="https://www.diodes.com/datasheet/download/DMTH43M8LFG.pdf"/>
    <hyperlink ref="C1757" r:id="rId_hyperlink_3512" tooltip="DMTH43M8LFG" display="DMTH43M8LFG"/>
    <hyperlink ref="B1758" r:id="rId_hyperlink_3513" tooltip="https://www.diodes.com/datasheet/download/DMTH43M8LFGQ.pdf" display="https://www.diodes.com/datasheet/download/DMTH43M8LFGQ.pdf"/>
    <hyperlink ref="C1758" r:id="rId_hyperlink_3514" tooltip="DMTH43M8LFGQ" display="DMTH43M8LFGQ"/>
    <hyperlink ref="B1759" r:id="rId_hyperlink_3515" tooltip="https://www.diodes.com/datasheet/download/DMTH43M8LFVW.pdf" display="https://www.diodes.com/datasheet/download/DMTH43M8LFVW.pdf"/>
    <hyperlink ref="C1759" r:id="rId_hyperlink_3516" tooltip="DMTH43M8LFVW" display="DMTH43M8LFVW"/>
    <hyperlink ref="B1760" r:id="rId_hyperlink_3517" tooltip="https://www.diodes.com/datasheet/download/DMTH43M8LFVWQ.pdf" display="https://www.diodes.com/datasheet/download/DMTH43M8LFVWQ.pdf"/>
    <hyperlink ref="C1760" r:id="rId_hyperlink_3518" tooltip="DMTH43M8LFVWQ" display="DMTH43M8LFVWQ"/>
    <hyperlink ref="B1761" r:id="rId_hyperlink_3519" tooltip="https://www.diodes.com/datasheet/download/DMTH43M8LK3.pdf" display="https://www.diodes.com/datasheet/download/DMTH43M8LK3.pdf"/>
    <hyperlink ref="C1761" r:id="rId_hyperlink_3520" tooltip="DMTH43M8LK3" display="DMTH43M8LK3"/>
    <hyperlink ref="B1762" r:id="rId_hyperlink_3521" tooltip="https://www.diodes.com/datasheet/download/DMTH43M8LK3Q.pdf" display="https://www.diodes.com/datasheet/download/DMTH43M8LK3Q.pdf"/>
    <hyperlink ref="C1762" r:id="rId_hyperlink_3522" tooltip="DMTH43M8LK3Q" display="DMTH43M8LK3Q"/>
    <hyperlink ref="B1763" r:id="rId_hyperlink_3523" tooltip="https://www.diodes.com/datasheet/download/DMTH43M8LPDW.pdf" display="https://www.diodes.com/datasheet/download/DMTH43M8LPDW.pdf"/>
    <hyperlink ref="C1763" r:id="rId_hyperlink_3524" tooltip="DMTH43M8LPDW" display="DMTH43M8LPDW"/>
    <hyperlink ref="B1764" r:id="rId_hyperlink_3525" tooltip="https://www.diodes.com/datasheet/download/DMTH43M8LPDWQ.pdf" display="https://www.diodes.com/datasheet/download/DMTH43M8LPDWQ.pdf"/>
    <hyperlink ref="C1764" r:id="rId_hyperlink_3526" tooltip="DMTH43M8LPDWQ" display="DMTH43M8LPDWQ"/>
    <hyperlink ref="B1765" r:id="rId_hyperlink_3527" tooltip="https://www.diodes.com/datasheet/download/DMTH43M8LPS.pdf" display="https://www.diodes.com/datasheet/download/DMTH43M8LPS.pdf"/>
    <hyperlink ref="C1765" r:id="rId_hyperlink_3528" tooltip="DMTH43M8LPS" display="DMTH43M8LPS"/>
    <hyperlink ref="B1766" r:id="rId_hyperlink_3529" tooltip="https://www.diodes.com/datasheet/download/DMTH43M8LPSQ.pdf" display="https://www.diodes.com/datasheet/download/DMTH43M8LPSQ.pdf"/>
    <hyperlink ref="C1766" r:id="rId_hyperlink_3530" tooltip="DMTH43M8LPSQ" display="DMTH43M8LPSQ"/>
    <hyperlink ref="B1767" r:id="rId_hyperlink_3531" tooltip="https://www.diodes.com/datasheet/download/DMTH43M8LPSWQ.pdf" display="https://www.diodes.com/datasheet/download/DMTH43M8LPSWQ.pdf"/>
    <hyperlink ref="C1767" r:id="rId_hyperlink_3532" tooltip="DMTH43M8LPSWQ" display="DMTH43M8LPSWQ"/>
    <hyperlink ref="B1768" r:id="rId_hyperlink_3533" tooltip="https://www.diodes.com/datasheet/download/DMTH43M8SPDW.pdf" display="https://www.diodes.com/datasheet/download/DMTH43M8SPDW.pdf"/>
    <hyperlink ref="C1768" r:id="rId_hyperlink_3534" tooltip="DMTH43M8SPDW" display="DMTH43M8SPDW"/>
    <hyperlink ref="B1769" r:id="rId_hyperlink_3535" tooltip="https://www.diodes.com/datasheet/download/DMTH43M8SPDWQ.pdf" display="https://www.diodes.com/datasheet/download/DMTH43M8SPDWQ.pdf"/>
    <hyperlink ref="C1769" r:id="rId_hyperlink_3536" tooltip="DMTH43M8SPDWQ" display="DMTH43M8SPDWQ"/>
    <hyperlink ref="B1770" r:id="rId_hyperlink_3537" tooltip="https://www.diodes.com/datasheet/download/DMTH45M5LFVW.pdf" display="https://www.diodes.com/datasheet/download/DMTH45M5LFVW.pdf"/>
    <hyperlink ref="C1770" r:id="rId_hyperlink_3538" tooltip="DMTH45M5LFVW" display="DMTH45M5LFVW"/>
    <hyperlink ref="B1771" r:id="rId_hyperlink_3539" tooltip="https://www.diodes.com/datasheet/download/DMTH45M5LFVWQ.pdf" display="https://www.diodes.com/datasheet/download/DMTH45M5LFVWQ.pdf"/>
    <hyperlink ref="C1771" r:id="rId_hyperlink_3540" tooltip="DMTH45M5LFVWQ" display="DMTH45M5LFVWQ"/>
    <hyperlink ref="B1772" r:id="rId_hyperlink_3541" tooltip="https://www.diodes.com/datasheet/download/DMTH45M5LPDW.pdf" display="https://www.diodes.com/datasheet/download/DMTH45M5LPDW.pdf"/>
    <hyperlink ref="C1772" r:id="rId_hyperlink_3542" tooltip="DMTH45M5LPDW" display="DMTH45M5LPDW"/>
    <hyperlink ref="B1773" r:id="rId_hyperlink_3543" tooltip="https://www.diodes.com/datasheet/download/DMTH45M5LPDWQ.pdf" display="https://www.diodes.com/datasheet/download/DMTH45M5LPDWQ.pdf"/>
    <hyperlink ref="C1773" r:id="rId_hyperlink_3544" tooltip="DMTH45M5LPDWQ" display="DMTH45M5LPDWQ"/>
    <hyperlink ref="B1774" r:id="rId_hyperlink_3545" tooltip="https://www.diodes.com/datasheet/download/DMTH45M5LPSW.pdf" display="https://www.diodes.com/datasheet/download/DMTH45M5LPSW.pdf"/>
    <hyperlink ref="C1774" r:id="rId_hyperlink_3546" tooltip="DMTH45M5LPSW" display="DMTH45M5LPSW"/>
    <hyperlink ref="B1775" r:id="rId_hyperlink_3547" tooltip="https://www.diodes.com/datasheet/download/DMTH45M5LPSWQ.pdf" display="https://www.diodes.com/datasheet/download/DMTH45M5LPSWQ.pdf"/>
    <hyperlink ref="C1775" r:id="rId_hyperlink_3548" tooltip="DMTH45M5LPSWQ" display="DMTH45M5LPSWQ"/>
    <hyperlink ref="B1776" r:id="rId_hyperlink_3549" tooltip="https://www.diodes.com/datasheet/download/DMTH45M5SFVW.pdf" display="https://www.diodes.com/datasheet/download/DMTH45M5SFVW.pdf"/>
    <hyperlink ref="C1776" r:id="rId_hyperlink_3550" tooltip="DMTH45M5SFVW" display="DMTH45M5SFVW"/>
    <hyperlink ref="B1777" r:id="rId_hyperlink_3551" tooltip="https://www.diodes.com/datasheet/download/DMTH45M5SFVWQ.pdf" display="https://www.diodes.com/datasheet/download/DMTH45M5SFVWQ.pdf"/>
    <hyperlink ref="C1777" r:id="rId_hyperlink_3552" tooltip="DMTH45M5SFVWQ" display="DMTH45M5SFVWQ"/>
    <hyperlink ref="B1778" r:id="rId_hyperlink_3553" tooltip="https://www.diodes.com/datasheet/download/DMTH45M5SPDW.pdf" display="https://www.diodes.com/datasheet/download/DMTH45M5SPDW.pdf"/>
    <hyperlink ref="C1778" r:id="rId_hyperlink_3554" tooltip="DMTH45M5SPDW" display="DMTH45M5SPDW"/>
    <hyperlink ref="B1779" r:id="rId_hyperlink_3555" tooltip="https://www.diodes.com/datasheet/download/DMTH45M5SPDWQ.pdf" display="https://www.diodes.com/datasheet/download/DMTH45M5SPDWQ.pdf"/>
    <hyperlink ref="C1779" r:id="rId_hyperlink_3556" tooltip="DMTH45M5SPDWQ" display="DMTH45M5SPDWQ"/>
    <hyperlink ref="B1780" r:id="rId_hyperlink_3557" tooltip="https://www.diodes.com/datasheet/download/DMTH45M5SPSW.pdf" display="https://www.diodes.com/datasheet/download/DMTH45M5SPSW.pdf"/>
    <hyperlink ref="C1780" r:id="rId_hyperlink_3558" tooltip="DMTH45M5SPSW" display="DMTH45M5SPSW"/>
    <hyperlink ref="B1781" r:id="rId_hyperlink_3559" tooltip="https://www.diodes.com/datasheet/download/DMTH45M5SPSWQ.pdf" display="https://www.diodes.com/datasheet/download/DMTH45M5SPSWQ.pdf"/>
    <hyperlink ref="C1781" r:id="rId_hyperlink_3560" tooltip="DMTH45M5SPSWQ" display="DMTH45M5SPSWQ"/>
    <hyperlink ref="B1782" r:id="rId_hyperlink_3561" tooltip="https://www.diodes.com/datasheet/download/DMTH47M2LFVW.pdf" display="https://www.diodes.com/datasheet/download/DMTH47M2LFVW.pdf"/>
    <hyperlink ref="C1782" r:id="rId_hyperlink_3562" tooltip="DMTH47M2LFVW" display="DMTH47M2LFVW"/>
    <hyperlink ref="B1783" r:id="rId_hyperlink_3563" tooltip="https://www.diodes.com/datasheet/download/DMTH47M2LFVWQ.pdf" display="https://www.diodes.com/datasheet/download/DMTH47M2LFVWQ.pdf"/>
    <hyperlink ref="C1783" r:id="rId_hyperlink_3564" tooltip="DMTH47M2LFVWQ" display="DMTH47M2LFVWQ"/>
    <hyperlink ref="B1784" r:id="rId_hyperlink_3565" tooltip="https://www.diodes.com/datasheet/download/DMTH47M2LPSW.pdf" display="https://www.diodes.com/datasheet/download/DMTH47M2LPSW.pdf"/>
    <hyperlink ref="C1784" r:id="rId_hyperlink_3566" tooltip="DMTH47M2LPSW" display="DMTH47M2LPSW"/>
    <hyperlink ref="B1785" r:id="rId_hyperlink_3567" tooltip="https://www.diodes.com/datasheet/download/DMTH47M2LPSWQ.pdf" display="https://www.diodes.com/datasheet/download/DMTH47M2LPSWQ.pdf"/>
    <hyperlink ref="C1785" r:id="rId_hyperlink_3568" tooltip="DMTH47M2LPSWQ" display="DMTH47M2LPSWQ"/>
    <hyperlink ref="B1786" r:id="rId_hyperlink_3569" tooltip="https://www.diodes.com/datasheet/download/DMTH47M2SK3.pdf" display="https://www.diodes.com/datasheet/download/DMTH47M2SK3.pdf"/>
    <hyperlink ref="C1786" r:id="rId_hyperlink_3570" tooltip="DMTH47M2SK3" display="DMTH47M2SK3"/>
    <hyperlink ref="B1787" r:id="rId_hyperlink_3571" tooltip="https://www.diodes.com/datasheet/download/DMTH47M2SPSW.pdf" display="https://www.diodes.com/datasheet/download/DMTH47M2SPSW.pdf"/>
    <hyperlink ref="C1787" r:id="rId_hyperlink_3572" tooltip="DMTH47M2SPSW" display="DMTH47M2SPSW"/>
    <hyperlink ref="B1788" r:id="rId_hyperlink_3573" tooltip="https://www.diodes.com/datasheet/download/DMTH47M2SPSWQ.pdf" display="https://www.diodes.com/datasheet/download/DMTH47M2SPSWQ.pdf"/>
    <hyperlink ref="C1788" r:id="rId_hyperlink_3574" tooltip="DMTH47M2SPSWQ" display="DMTH47M2SPSWQ"/>
    <hyperlink ref="B1789" r:id="rId_hyperlink_3575" tooltip="https://www.diodes.com/datasheet/download/DMTH48M3SFVW.pdf" display="https://www.diodes.com/datasheet/download/DMTH48M3SFVW.pdf"/>
    <hyperlink ref="C1789" r:id="rId_hyperlink_3576" tooltip="DMTH48M3SFVW" display="DMTH48M3SFVW"/>
    <hyperlink ref="B1790" r:id="rId_hyperlink_3577" tooltip="https://www.diodes.com/datasheet/download/DMTH48M3SFVWQ.pdf" display="https://www.diodes.com/datasheet/download/DMTH48M3SFVWQ.pdf"/>
    <hyperlink ref="C1790" r:id="rId_hyperlink_3578" tooltip="DMTH48M3SFVWQ" display="DMTH48M3SFVWQ"/>
    <hyperlink ref="B1791" r:id="rId_hyperlink_3579" tooltip="https://www.diodes.com/datasheet/download/DMTH4M70SPGW.pdf" display="https://www.diodes.com/datasheet/download/DMTH4M70SPGW.pdf"/>
    <hyperlink ref="C1791" r:id="rId_hyperlink_3580" tooltip="DMTH4M70SPGW" display="DMTH4M70SPGW"/>
    <hyperlink ref="B1792" r:id="rId_hyperlink_3581" tooltip="https://www.diodes.com/datasheet/download/DMTH4M70SPGWQ.pdf" display="https://www.diodes.com/datasheet/download/DMTH4M70SPGWQ.pdf"/>
    <hyperlink ref="C1792" r:id="rId_hyperlink_3582" tooltip="DMTH4M70SPGWQ" display="DMTH4M70SPGWQ"/>
    <hyperlink ref="B1793" r:id="rId_hyperlink_3583" tooltip="https://www.diodes.com/datasheet/download/DMTH4M75LPSW.pdf" display="https://www.diodes.com/datasheet/download/DMTH4M75LPSW.pdf"/>
    <hyperlink ref="C1793" r:id="rId_hyperlink_3584" tooltip="DMTH4M75LPSW" display="DMTH4M75LPSW"/>
    <hyperlink ref="B1794" r:id="rId_hyperlink_3585" tooltip="https://www.diodes.com/datasheet/download/DMTH4M75LPSWQ.pdf" display="https://www.diodes.com/datasheet/download/DMTH4M75LPSWQ.pdf"/>
    <hyperlink ref="C1794" r:id="rId_hyperlink_3586" tooltip="DMTH4M75LPSWQ" display="DMTH4M75LPSWQ"/>
    <hyperlink ref="B1795" r:id="rId_hyperlink_3587" tooltip="https://www.diodes.com/datasheet/download/DMTH4M75SPSW.pdf" display="https://www.diodes.com/datasheet/download/DMTH4M75SPSW.pdf"/>
    <hyperlink ref="C1795" r:id="rId_hyperlink_3588" tooltip="DMTH4M75SPSW" display="DMTH4M75SPSW"/>
    <hyperlink ref="B1796" r:id="rId_hyperlink_3589" tooltip="https://www.diodes.com/datasheet/download/DMTH4M75SPSWQ.pdf" display="https://www.diodes.com/datasheet/download/DMTH4M75SPSWQ.pdf"/>
    <hyperlink ref="C1796" r:id="rId_hyperlink_3590" tooltip="DMTH4M75SPSWQ" display="DMTH4M75SPSWQ"/>
    <hyperlink ref="B1797" r:id="rId_hyperlink_3591" tooltip="https://www.diodes.com/datasheet/download/DMTH4M90LPSW.pdf" display="https://www.diodes.com/datasheet/download/DMTH4M90LPSW.pdf"/>
    <hyperlink ref="C1797" r:id="rId_hyperlink_3592" tooltip="DMTH4M90LPSW" display="DMTH4M90LPSW"/>
    <hyperlink ref="B1798" r:id="rId_hyperlink_3593" tooltip="https://www.diodes.com/datasheet/download/DMTH4M90LPSWQ.pdf" display="https://www.diodes.com/datasheet/download/DMTH4M90LPSWQ.pdf"/>
    <hyperlink ref="C1798" r:id="rId_hyperlink_3594" tooltip="DMTH4M90LPSWQ" display="DMTH4M90LPSWQ"/>
    <hyperlink ref="B1799" r:id="rId_hyperlink_3595" tooltip="https://www.diodes.com/datasheet/download/DMTH4M90SPSW.pdf" display="https://www.diodes.com/datasheet/download/DMTH4M90SPSW.pdf"/>
    <hyperlink ref="C1799" r:id="rId_hyperlink_3596" tooltip="DMTH4M90SPSW" display="DMTH4M90SPSW"/>
    <hyperlink ref="B1800" r:id="rId_hyperlink_3597" tooltip="https://www.diodes.com/datasheet/download/DMTH4M90SPSWQ.pdf" display="https://www.diodes.com/datasheet/download/DMTH4M90SPSWQ.pdf"/>
    <hyperlink ref="C1800" r:id="rId_hyperlink_3598" tooltip="DMTH4M90SPSWQ" display="DMTH4M90SPSWQ"/>
    <hyperlink ref="B1801" r:id="rId_hyperlink_3599" tooltip="https://www.diodes.com/datasheet/download/DMTH6002LPS.pdf" display="https://www.diodes.com/datasheet/download/DMTH6002LPS.pdf"/>
    <hyperlink ref="C1801" r:id="rId_hyperlink_3600" tooltip="DMTH6002LPS" display="DMTH6002LPS"/>
    <hyperlink ref="B1802" r:id="rId_hyperlink_3601" tooltip="https://www.diodes.com/datasheet/download/DMTH6002LPSW.pdf" display="https://www.diodes.com/datasheet/download/DMTH6002LPSW.pdf"/>
    <hyperlink ref="C1802" r:id="rId_hyperlink_3602" tooltip="DMTH6002LPSW" display="DMTH6002LPSW"/>
    <hyperlink ref="B1803" r:id="rId_hyperlink_3603" tooltip="https://www.diodes.com/datasheet/download/DMTH6002LPSWQ.pdf" display="https://www.diodes.com/datasheet/download/DMTH6002LPSWQ.pdf"/>
    <hyperlink ref="C1803" r:id="rId_hyperlink_3604" tooltip="DMTH6002LPSWQ" display="DMTH6002LPSWQ"/>
    <hyperlink ref="B1804" r:id="rId_hyperlink_3605" tooltip="https://www.diodes.com/datasheet/download/DMTH6004LPS.pdf" display="https://www.diodes.com/datasheet/download/DMTH6004LPS.pdf"/>
    <hyperlink ref="C1804" r:id="rId_hyperlink_3606" tooltip="DMTH6004LPS" display="DMTH6004LPS"/>
    <hyperlink ref="B1805" r:id="rId_hyperlink_3607" tooltip="https://www.diodes.com/datasheet/download/DMTH6004LPSQ.pdf" display="https://www.diodes.com/datasheet/download/DMTH6004LPSQ.pdf"/>
    <hyperlink ref="C1805" r:id="rId_hyperlink_3608" tooltip="DMTH6004LPSQ" display="DMTH6004LPSQ"/>
    <hyperlink ref="B1806" r:id="rId_hyperlink_3609" tooltip="https://www.diodes.com/datasheet/download/DMTH6004LPSWQ.pdf" display="https://www.diodes.com/datasheet/download/DMTH6004LPSWQ.pdf"/>
    <hyperlink ref="C1806" r:id="rId_hyperlink_3610" tooltip="DMTH6004LPSWQ" display="DMTH6004LPSWQ"/>
    <hyperlink ref="B1807" r:id="rId_hyperlink_3611" tooltip="https://www.diodes.com/datasheet/download/DMTH6004SCT.pdf" display="https://www.diodes.com/datasheet/download/DMTH6004SCT.pdf"/>
    <hyperlink ref="C1807" r:id="rId_hyperlink_3612" tooltip="DMTH6004SCT" display="DMTH6004SCT"/>
    <hyperlink ref="B1808" r:id="rId_hyperlink_3613" tooltip="https://www.diodes.com/datasheet/download/DMTH6004SCTB.pdf" display="https://www.diodes.com/datasheet/download/DMTH6004SCTB.pdf"/>
    <hyperlink ref="C1808" r:id="rId_hyperlink_3614" tooltip="DMTH6004SCTB" display="DMTH6004SCTB"/>
    <hyperlink ref="B1809" r:id="rId_hyperlink_3615" tooltip="https://www.diodes.com/datasheet/download/DMTH6004SCTBQ.pdf" display="https://www.diodes.com/datasheet/download/DMTH6004SCTBQ.pdf"/>
    <hyperlink ref="C1809" r:id="rId_hyperlink_3616" tooltip="DMTH6004SCTBQ" display="DMTH6004SCTBQ"/>
    <hyperlink ref="B1810" r:id="rId_hyperlink_3617" tooltip="https://www.diodes.com/datasheet/download/DMTH6004SK3.pdf" display="https://www.diodes.com/datasheet/download/DMTH6004SK3.pdf"/>
    <hyperlink ref="C1810" r:id="rId_hyperlink_3618" tooltip="DMTH6004SK3" display="DMTH6004SK3"/>
    <hyperlink ref="B1811" r:id="rId_hyperlink_3619" tooltip="https://www.diodes.com/datasheet/download/DMTH6004SK3Q.pdf" display="https://www.diodes.com/datasheet/download/DMTH6004SK3Q.pdf"/>
    <hyperlink ref="C1811" r:id="rId_hyperlink_3620" tooltip="DMTH6004SK3Q" display="DMTH6004SK3Q"/>
    <hyperlink ref="B1812" r:id="rId_hyperlink_3621" tooltip="https://www.diodes.com/datasheet/download/DMTH6004SPS.pdf" display="https://www.diodes.com/datasheet/download/DMTH6004SPS.pdf"/>
    <hyperlink ref="C1812" r:id="rId_hyperlink_3622" tooltip="DMTH6004SPS" display="DMTH6004SPS"/>
    <hyperlink ref="B1813" r:id="rId_hyperlink_3623" tooltip="https://www.diodes.com/datasheet/download/DMTH6004SPSQ.pdf" display="https://www.diodes.com/datasheet/download/DMTH6004SPSQ.pdf"/>
    <hyperlink ref="C1813" r:id="rId_hyperlink_3624" tooltip="DMTH6004SPSQ" display="DMTH6004SPSQ"/>
    <hyperlink ref="B1814" r:id="rId_hyperlink_3625" tooltip="https://www.diodes.com/datasheet/download/DMTH6004SPSWQ.pdf" display="https://www.diodes.com/datasheet/download/DMTH6004SPSWQ.pdf"/>
    <hyperlink ref="C1814" r:id="rId_hyperlink_3626" tooltip="DMTH6004SPSWQ" display="DMTH6004SPSWQ"/>
    <hyperlink ref="B1815" r:id="rId_hyperlink_3627" tooltip="https://www.diodes.com/datasheet/download/DMTH6005LCT.pdf" display="https://www.diodes.com/datasheet/download/DMTH6005LCT.pdf"/>
    <hyperlink ref="C1815" r:id="rId_hyperlink_3628" tooltip="DMTH6005LCT" display="DMTH6005LCT"/>
    <hyperlink ref="B1816" r:id="rId_hyperlink_3629" tooltip="https://www.diodes.com/datasheet/download/DMTH6005LFG.pdf" display="https://www.diodes.com/datasheet/download/DMTH6005LFG.pdf"/>
    <hyperlink ref="C1816" r:id="rId_hyperlink_3630" tooltip="DMTH6005LFG" display="DMTH6005LFG"/>
    <hyperlink ref="B1817" r:id="rId_hyperlink_3631" tooltip="https://www.diodes.com/datasheet/download/DMTH6005LFGQ.pdf" display="https://www.diodes.com/datasheet/download/DMTH6005LFGQ.pdf"/>
    <hyperlink ref="C1817" r:id="rId_hyperlink_3632" tooltip="DMTH6005LFGQ" display="DMTH6005LFGQ"/>
    <hyperlink ref="B1818" r:id="rId_hyperlink_3633" tooltip="https://www.diodes.com/datasheet/download/DMTH6005LK3.pdf" display="https://www.diodes.com/datasheet/download/DMTH6005LK3.pdf"/>
    <hyperlink ref="C1818" r:id="rId_hyperlink_3634" tooltip="DMTH6005LK3" display="DMTH6005LK3"/>
    <hyperlink ref="B1819" r:id="rId_hyperlink_3635" tooltip="https://www.diodes.com/datasheet/download/DMTH6005LK3Q.pdf" display="https://www.diodes.com/datasheet/download/DMTH6005LK3Q.pdf"/>
    <hyperlink ref="C1819" r:id="rId_hyperlink_3636" tooltip="DMTH6005LK3Q" display="DMTH6005LK3Q"/>
    <hyperlink ref="B1820" r:id="rId_hyperlink_3637" tooltip="https://www.diodes.com/datasheet/download/DMTH6005LPS.pdf" display="https://www.diodes.com/datasheet/download/DMTH6005LPS.pdf"/>
    <hyperlink ref="C1820" r:id="rId_hyperlink_3638" tooltip="DMTH6005LPS" display="DMTH6005LPS"/>
    <hyperlink ref="B1821" r:id="rId_hyperlink_3639" tooltip="https://www.diodes.com/datasheet/download/DMTH6005LPSQ.pdf" display="https://www.diodes.com/datasheet/download/DMTH6005LPSQ.pdf"/>
    <hyperlink ref="C1821" r:id="rId_hyperlink_3640" tooltip="DMTH6005LPSQ" display="DMTH6005LPSQ"/>
    <hyperlink ref="B1822" r:id="rId_hyperlink_3641" tooltip="https://www.diodes.com/datasheet/download/DMTH6005LPSWQ.pdf" display="https://www.diodes.com/datasheet/download/DMTH6005LPSWQ.pdf"/>
    <hyperlink ref="C1822" r:id="rId_hyperlink_3642" tooltip="DMTH6005LPSWQ" display="DMTH6005LPSWQ"/>
    <hyperlink ref="B1823" r:id="rId_hyperlink_3643" tooltip="https://www.diodes.com/datasheet/download/DMTH6006LPSW.pdf" display="https://www.diodes.com/datasheet/download/DMTH6006LPSW.pdf"/>
    <hyperlink ref="C1823" r:id="rId_hyperlink_3644" tooltip="DMTH6006LPSW" display="DMTH6006LPSW"/>
    <hyperlink ref="B1824" r:id="rId_hyperlink_3645" tooltip="https://www.diodes.com/datasheet/download/DMTH6006LPSWQ.pdf" display="https://www.diodes.com/datasheet/download/DMTH6006LPSWQ.pdf"/>
    <hyperlink ref="C1824" r:id="rId_hyperlink_3646" tooltip="DMTH6006LPSWQ" display="DMTH6006LPSWQ"/>
    <hyperlink ref="B1825" r:id="rId_hyperlink_3647" tooltip="https://www.diodes.com/datasheet/download/DMTH6006SPS.pdf" display="https://www.diodes.com/datasheet/download/DMTH6006SPS.pdf"/>
    <hyperlink ref="C1825" r:id="rId_hyperlink_3648" tooltip="DMTH6006SPS" display="DMTH6006SPS"/>
    <hyperlink ref="B1826" r:id="rId_hyperlink_3649" tooltip="https://www.diodes.com/datasheet/download/DMTH6009LK3.pdf" display="https://www.diodes.com/datasheet/download/DMTH6009LK3.pdf"/>
    <hyperlink ref="C1826" r:id="rId_hyperlink_3650" tooltip="DMTH6009LK3" display="DMTH6009LK3"/>
    <hyperlink ref="B1827" r:id="rId_hyperlink_3651" tooltip="https://www.diodes.com/datasheet/download/DMTH6009LK3Q.pdf" display="https://www.diodes.com/datasheet/download/DMTH6009LK3Q.pdf"/>
    <hyperlink ref="C1827" r:id="rId_hyperlink_3652" tooltip="DMTH6009LK3Q" display="DMTH6009LK3Q"/>
    <hyperlink ref="B1828" r:id="rId_hyperlink_3653" tooltip="https://www.diodes.com/datasheet/download/DMTH6009LPS.pdf" display="https://www.diodes.com/datasheet/download/DMTH6009LPS.pdf"/>
    <hyperlink ref="C1828" r:id="rId_hyperlink_3654" tooltip="DMTH6009LPS" display="DMTH6009LPS"/>
    <hyperlink ref="B1829" r:id="rId_hyperlink_3655" tooltip="https://www.diodes.com/datasheet/download/DMTH6009LPSQ.pdf" display="https://www.diodes.com/datasheet/download/DMTH6009LPSQ.pdf"/>
    <hyperlink ref="C1829" r:id="rId_hyperlink_3656" tooltip="DMTH6009LPSQ" display="DMTH6009LPSQ"/>
    <hyperlink ref="B1830" r:id="rId_hyperlink_3657" tooltip="https://www.diodes.com/datasheet/download/DMTH6009LPSWQ.pdf" display="https://www.diodes.com/datasheet/download/DMTH6009LPSWQ.pdf"/>
    <hyperlink ref="C1830" r:id="rId_hyperlink_3658" tooltip="DMTH6009LPSWQ" display="DMTH6009LPSWQ"/>
    <hyperlink ref="B1831" r:id="rId_hyperlink_3659" tooltip="https://www.diodes.com/datasheet/download/DMTH6009SPS.pdf" display="https://www.diodes.com/datasheet/download/DMTH6009SPS.pdf"/>
    <hyperlink ref="C1831" r:id="rId_hyperlink_3660" tooltip="DMTH6009SPS" display="DMTH6009SPS"/>
    <hyperlink ref="B1832" r:id="rId_hyperlink_3661" tooltip="https://www.diodes.com/datasheet/download/DMTH6010LK3.pdf" display="https://www.diodes.com/datasheet/download/DMTH6010LK3.pdf"/>
    <hyperlink ref="C1832" r:id="rId_hyperlink_3662" tooltip="DMTH6010LK3" display="DMTH6010LK3"/>
    <hyperlink ref="B1833" r:id="rId_hyperlink_3663" tooltip="https://www.diodes.com/datasheet/download/DMTH6010LK3Q.pdf" display="https://www.diodes.com/datasheet/download/DMTH6010LK3Q.pdf"/>
    <hyperlink ref="C1833" r:id="rId_hyperlink_3664" tooltip="DMTH6010LK3Q" display="DMTH6010LK3Q"/>
    <hyperlink ref="B1834" r:id="rId_hyperlink_3665" tooltip="https://www.diodes.com/datasheet/download/DMTH6010LPD.pdf" display="https://www.diodes.com/datasheet/download/DMTH6010LPD.pdf"/>
    <hyperlink ref="C1834" r:id="rId_hyperlink_3666" tooltip="DMTH6010LPD" display="DMTH6010LPD"/>
    <hyperlink ref="B1835" r:id="rId_hyperlink_3667" tooltip="https://www.diodes.com/datasheet/download/DMTH6010LPDQ.pdf" display="https://www.diodes.com/datasheet/download/DMTH6010LPDQ.pdf"/>
    <hyperlink ref="C1835" r:id="rId_hyperlink_3668" tooltip="DMTH6010LPDQ" display="DMTH6010LPDQ"/>
    <hyperlink ref="B1836" r:id="rId_hyperlink_3669" tooltip="https://www.diodes.com/datasheet/download/DMTH6010LPDW.pdf" display="https://www.diodes.com/datasheet/download/DMTH6010LPDW.pdf"/>
    <hyperlink ref="C1836" r:id="rId_hyperlink_3670" tooltip="DMTH6010LPDW" display="DMTH6010LPDW"/>
    <hyperlink ref="B1837" r:id="rId_hyperlink_3671" tooltip="https://www.diodes.com/datasheet/download/DMTH6010LPDWQ.pdf" display="https://www.diodes.com/datasheet/download/DMTH6010LPDWQ.pdf"/>
    <hyperlink ref="C1837" r:id="rId_hyperlink_3672" tooltip="DMTH6010LPDWQ" display="DMTH6010LPDWQ"/>
    <hyperlink ref="B1838" r:id="rId_hyperlink_3673" tooltip="https://www.diodes.com/datasheet/download/DMTH6010LPS.pdf" display="https://www.diodes.com/datasheet/download/DMTH6010LPS.pdf"/>
    <hyperlink ref="C1838" r:id="rId_hyperlink_3674" tooltip="DMTH6010LPS" display="DMTH6010LPS"/>
    <hyperlink ref="B1839" r:id="rId_hyperlink_3675" tooltip="https://www.diodes.com/datasheet/download/DMTH6010LPSQ.pdf" display="https://www.diodes.com/datasheet/download/DMTH6010LPSQ.pdf"/>
    <hyperlink ref="C1839" r:id="rId_hyperlink_3676" tooltip="DMTH6010LPSQ" display="DMTH6010LPSQ"/>
    <hyperlink ref="B1840" r:id="rId_hyperlink_3677" tooltip="https://www.diodes.com/datasheet/download/DMTH6010LPSW.pdf" display="https://www.diodes.com/datasheet/download/DMTH6010LPSW.pdf"/>
    <hyperlink ref="C1840" r:id="rId_hyperlink_3678" tooltip="DMTH6010LPSW" display="DMTH6010LPSW"/>
    <hyperlink ref="B1841" r:id="rId_hyperlink_3679" tooltip="https://www.diodes.com/datasheet/download/DMTH6010LPSWQ.pdf" display="https://www.diodes.com/datasheet/download/DMTH6010LPSWQ.pdf"/>
    <hyperlink ref="C1841" r:id="rId_hyperlink_3680" tooltip="DMTH6010LPSWQ" display="DMTH6010LPSWQ"/>
    <hyperlink ref="B1842" r:id="rId_hyperlink_3681" tooltip="https://www.diodes.com/datasheet/download/DMTH6010SCT.pdf" display="https://www.diodes.com/datasheet/download/DMTH6010SCT.pdf"/>
    <hyperlink ref="C1842" r:id="rId_hyperlink_3682" tooltip="DMTH6010SCT" display="DMTH6010SCT"/>
    <hyperlink ref="B1843" r:id="rId_hyperlink_3683" tooltip="https://www.diodes.com/datasheet/download/DMTH6010SK3.pdf" display="https://www.diodes.com/datasheet/download/DMTH6010SK3.pdf"/>
    <hyperlink ref="C1843" r:id="rId_hyperlink_3684" tooltip="DMTH6010SK3" display="DMTH6010SK3"/>
    <hyperlink ref="B1844" r:id="rId_hyperlink_3685" tooltip="https://www.diodes.com/datasheet/download/DMTH6010SK3Q.pdf" display="https://www.diodes.com/datasheet/download/DMTH6010SK3Q.pdf"/>
    <hyperlink ref="C1844" r:id="rId_hyperlink_3686" tooltip="DMTH6010SK3Q" display="DMTH6010SK3Q"/>
    <hyperlink ref="B1845" r:id="rId_hyperlink_3687" tooltip="https://www.diodes.com/datasheet/download/DMTH6010SPS.pdf" display="https://www.diodes.com/datasheet/download/DMTH6010SPS.pdf"/>
    <hyperlink ref="C1845" r:id="rId_hyperlink_3688" tooltip="DMTH6010SPS" display="DMTH6010SPS"/>
    <hyperlink ref="B1846" r:id="rId_hyperlink_3689" tooltip="https://www.diodes.com/datasheet/download/DMTH6012LPSW.pdf" display="https://www.diodes.com/datasheet/download/DMTH6012LPSW.pdf"/>
    <hyperlink ref="C1846" r:id="rId_hyperlink_3690" tooltip="DMTH6012LPSW" display="DMTH6012LPSW"/>
    <hyperlink ref="B1847" r:id="rId_hyperlink_3691" tooltip="https://www.diodes.com/datasheet/download/DMTH6012LPSWQ.pdf" display="https://www.diodes.com/datasheet/download/DMTH6012LPSWQ.pdf"/>
    <hyperlink ref="C1847" r:id="rId_hyperlink_3692" tooltip="DMTH6012LPSWQ" display="DMTH6012LPSWQ"/>
    <hyperlink ref="B1848" r:id="rId_hyperlink_3693" tooltip="https://www.diodes.com/datasheet/download/DMTH6015LDVW.pdf" display="https://www.diodes.com/datasheet/download/DMTH6015LDVW.pdf"/>
    <hyperlink ref="C1848" r:id="rId_hyperlink_3694" tooltip="DMTH6015LDVW" display="DMTH6015LDVW"/>
    <hyperlink ref="B1849" r:id="rId_hyperlink_3695" tooltip="https://www.diodes.com/datasheet/download/DMTH6015LDVWQ.pdf" display="https://www.diodes.com/datasheet/download/DMTH6015LDVWQ.pdf"/>
    <hyperlink ref="C1849" r:id="rId_hyperlink_3696" tooltip="DMTH6015LDVWQ" display="DMTH6015LDVWQ"/>
    <hyperlink ref="B1850" r:id="rId_hyperlink_3697" tooltip="https://www.diodes.com/datasheet/download/DMTH6015LPDW.pdf" display="https://www.diodes.com/datasheet/download/DMTH6015LPDW.pdf"/>
    <hyperlink ref="C1850" r:id="rId_hyperlink_3698" tooltip="DMTH6015LPDW" display="DMTH6015LPDW"/>
    <hyperlink ref="B1851" r:id="rId_hyperlink_3699" tooltip="https://www.diodes.com/datasheet/download/DMTH6015LPDWQ.pdf" display="https://www.diodes.com/datasheet/download/DMTH6015LPDWQ.pdf"/>
    <hyperlink ref="C1851" r:id="rId_hyperlink_3700" tooltip="DMTH6015LPDWQ" display="DMTH6015LPDWQ"/>
    <hyperlink ref="B1852" r:id="rId_hyperlink_3701" tooltip="https://www.diodes.com/datasheet/download/DMTH6016LFDFW.pdf" display="https://www.diodes.com/datasheet/download/DMTH6016LFDFW.pdf"/>
    <hyperlink ref="C1852" r:id="rId_hyperlink_3702" tooltip="DMTH6016LFDFW" display="DMTH6016LFDFW"/>
    <hyperlink ref="B1853" r:id="rId_hyperlink_3703" tooltip="https://www.diodes.com/datasheet/download/DMTH6016LFDFWQ.pdf" display="https://www.diodes.com/datasheet/download/DMTH6016LFDFWQ.pdf"/>
    <hyperlink ref="C1853" r:id="rId_hyperlink_3704" tooltip="DMTH6016LFDFWQ" display="DMTH6016LFDFWQ"/>
    <hyperlink ref="B1854" r:id="rId_hyperlink_3705" tooltip="https://www.diodes.com/datasheet/download/DMTH6016LFVW.pdf" display="https://www.diodes.com/datasheet/download/DMTH6016LFVW.pdf"/>
    <hyperlink ref="C1854" r:id="rId_hyperlink_3706" tooltip="DMTH6016LFVW" display="DMTH6016LFVW"/>
    <hyperlink ref="B1855" r:id="rId_hyperlink_3707" tooltip="https://www.diodes.com/datasheet/download/DMTH6016LFVWQ.pdf" display="https://www.diodes.com/datasheet/download/DMTH6016LFVWQ.pdf"/>
    <hyperlink ref="C1855" r:id="rId_hyperlink_3708" tooltip="DMTH6016LFVWQ" display="DMTH6016LFVWQ"/>
    <hyperlink ref="B1856" r:id="rId_hyperlink_3709" tooltip="https://www.diodes.com/datasheet/download/DMTH6016LK3.pdf" display="https://www.diodes.com/datasheet/download/DMTH6016LK3.pdf"/>
    <hyperlink ref="C1856" r:id="rId_hyperlink_3710" tooltip="DMTH6016LK3" display="DMTH6016LK3"/>
    <hyperlink ref="B1857" r:id="rId_hyperlink_3711" tooltip="https://www.diodes.com/datasheet/download/DMTH6016LK3Q.pdf" display="https://www.diodes.com/datasheet/download/DMTH6016LK3Q.pdf"/>
    <hyperlink ref="C1857" r:id="rId_hyperlink_3712" tooltip="DMTH6016LK3Q" display="DMTH6016LK3Q"/>
    <hyperlink ref="B1858" r:id="rId_hyperlink_3713" tooltip="https://www.diodes.com/datasheet/download/DMTH6016LPD.pdf" display="https://www.diodes.com/datasheet/download/DMTH6016LPD.pdf"/>
    <hyperlink ref="C1858" r:id="rId_hyperlink_3714" tooltip="DMTH6016LPD" display="DMTH6016LPD"/>
    <hyperlink ref="B1859" r:id="rId_hyperlink_3715" tooltip="https://www.diodes.com/datasheet/download/DMTH6016LPDQ.pdf" display="https://www.diodes.com/datasheet/download/DMTH6016LPDQ.pdf"/>
    <hyperlink ref="C1859" r:id="rId_hyperlink_3716" tooltip="DMTH6016LPDQ" display="DMTH6016LPDQ"/>
    <hyperlink ref="B1860" r:id="rId_hyperlink_3717" tooltip="https://www.diodes.com/datasheet/download/DMTH6016LPDWQ.pdf" display="https://www.diodes.com/datasheet/download/DMTH6016LPDWQ.pdf"/>
    <hyperlink ref="C1860" r:id="rId_hyperlink_3718" tooltip="DMTH6016LPDWQ" display="DMTH6016LPDWQ"/>
    <hyperlink ref="B1861" r:id="rId_hyperlink_3719" tooltip="https://www.diodes.com/datasheet/download/DMTH6016LPS.pdf" display="https://www.diodes.com/datasheet/download/DMTH6016LPS.pdf"/>
    <hyperlink ref="C1861" r:id="rId_hyperlink_3720" tooltip="DMTH6016LPS" display="DMTH6016LPS"/>
    <hyperlink ref="B1862" r:id="rId_hyperlink_3721" tooltip="https://www.diodes.com/datasheet/download/DMTH6016LPSQ.pdf" display="https://www.diodes.com/datasheet/download/DMTH6016LPSQ.pdf"/>
    <hyperlink ref="C1862" r:id="rId_hyperlink_3722" tooltip="DMTH6016LPSQ" display="DMTH6016LPSQ"/>
    <hyperlink ref="B1863" r:id="rId_hyperlink_3723" tooltip="https://www.diodes.com/datasheet/download/DMTH6016LPSWQ.pdf" display="https://www.diodes.com/datasheet/download/DMTH6016LPSWQ.pdf"/>
    <hyperlink ref="C1863" r:id="rId_hyperlink_3724" tooltip="DMTH6016LPSWQ" display="DMTH6016LPSWQ"/>
    <hyperlink ref="B1864" r:id="rId_hyperlink_3725" tooltip="https://www.diodes.com/datasheet/download/DMTH6016LSD.pdf" display="https://www.diodes.com/datasheet/download/DMTH6016LSD.pdf"/>
    <hyperlink ref="C1864" r:id="rId_hyperlink_3726" tooltip="DMTH6016LSD" display="DMTH6016LSD"/>
    <hyperlink ref="B1865" r:id="rId_hyperlink_3727" tooltip="https://www.diodes.com/datasheet/download/DMTH6016LSDQ.pdf" display="https://www.diodes.com/datasheet/download/DMTH6016LSDQ.pdf"/>
    <hyperlink ref="C1865" r:id="rId_hyperlink_3728" tooltip="DMTH6016LSDQ" display="DMTH6016LSDQ"/>
    <hyperlink ref="B1866" r:id="rId_hyperlink_3729" tooltip="https://www.diodes.com/datasheet/download/DMTH6030LFDFW.pdf" display="https://www.diodes.com/datasheet/download/DMTH6030LFDFW.pdf"/>
    <hyperlink ref="C1866" r:id="rId_hyperlink_3730" tooltip="DMTH6030LFDFW" display="DMTH6030LFDFW"/>
    <hyperlink ref="B1867" r:id="rId_hyperlink_3731" tooltip="https://www.diodes.com/datasheet/download/DMTH6030LFDFWQ.pdf" display="https://www.diodes.com/datasheet/download/DMTH6030LFDFWQ.pdf"/>
    <hyperlink ref="C1867" r:id="rId_hyperlink_3732" tooltip="DMTH6030LFDFWQ" display="DMTH6030LFDFWQ"/>
    <hyperlink ref="B1868" r:id="rId_hyperlink_3733" tooltip="https://www.diodes.com/datasheet/download/DMTH61M5SPSW.pdf" display="https://www.diodes.com/datasheet/download/DMTH61M5SPSW.pdf"/>
    <hyperlink ref="C1868" r:id="rId_hyperlink_3734" tooltip="DMTH61M5SPSW" display="DMTH61M5SPSW"/>
    <hyperlink ref="B1869" r:id="rId_hyperlink_3735" tooltip="https://www.diodes.com/datasheet/download/DMTH61M5SPSWQ.pdf" display="https://www.diodes.com/datasheet/download/DMTH61M5SPSWQ.pdf"/>
    <hyperlink ref="C1869" r:id="rId_hyperlink_3736" tooltip="DMTH61M5SPSWQ" display="DMTH61M5SPSWQ"/>
    <hyperlink ref="B1870" r:id="rId_hyperlink_3737" tooltip="https://www.diodes.com/datasheet/download/DMTH61M8LPS.pdf" display="https://www.diodes.com/datasheet/download/DMTH61M8LPS.pdf"/>
    <hyperlink ref="C1870" r:id="rId_hyperlink_3738" tooltip="DMTH61M8LPS" display="DMTH61M8LPS"/>
    <hyperlink ref="B1871" r:id="rId_hyperlink_3739" tooltip="https://www.diodes.com/datasheet/download/DMTH61M8LPSQ.pdf" display="https://www.diodes.com/datasheet/download/DMTH61M8LPSQ.pdf"/>
    <hyperlink ref="C1871" r:id="rId_hyperlink_3740" tooltip="DMTH61M8LPSQ" display="DMTH61M8LPSQ"/>
    <hyperlink ref="B1872" r:id="rId_hyperlink_3741" tooltip="https://www.diodes.com/datasheet/download/DMTH61M8SPS.pdf" display="https://www.diodes.com/datasheet/download/DMTH61M8SPS.pdf"/>
    <hyperlink ref="C1872" r:id="rId_hyperlink_3742" tooltip="DMTH61M8SPS" display="DMTH61M8SPS"/>
    <hyperlink ref="B1873" r:id="rId_hyperlink_3743" tooltip="https://www.diodes.com/datasheet/download/DMTH61M8SPSQ.pdf" display="https://www.diodes.com/datasheet/download/DMTH61M8SPSQ.pdf"/>
    <hyperlink ref="C1873" r:id="rId_hyperlink_3744" tooltip="DMTH61M8SPSQ" display="DMTH61M8SPSQ"/>
    <hyperlink ref="B1874" r:id="rId_hyperlink_3745" tooltip="https://www.diodes.com/datasheet/download/DMTH62M7SPSW.pdf" display="https://www.diodes.com/datasheet/download/DMTH62M7SPSW.pdf"/>
    <hyperlink ref="C1874" r:id="rId_hyperlink_3746" tooltip="DMTH62M7SPSW" display="DMTH62M7SPSW"/>
    <hyperlink ref="B1875" r:id="rId_hyperlink_3747" tooltip="https://www.diodes.com/datasheet/download/DMTH62M7SPSWQ.pdf" display="https://www.diodes.com/datasheet/download/DMTH62M7SPSWQ.pdf"/>
    <hyperlink ref="C1875" r:id="rId_hyperlink_3748" tooltip="DMTH62M7SPSWQ" display="DMTH62M7SPSWQ"/>
    <hyperlink ref="B1876" r:id="rId_hyperlink_3749" tooltip="https://www.diodes.com/datasheet/download/DMTH62M8LPS.pdf" display="https://www.diodes.com/datasheet/download/DMTH62M8LPS.pdf"/>
    <hyperlink ref="C1876" r:id="rId_hyperlink_3750" tooltip="DMTH62M8LPS" display="DMTH62M8LPS"/>
    <hyperlink ref="B1877" r:id="rId_hyperlink_3751" tooltip="https://www.diodes.com/datasheet/download/DMTH62M8SPS.pdf" display="https://www.diodes.com/datasheet/download/DMTH62M8SPS.pdf"/>
    <hyperlink ref="C1877" r:id="rId_hyperlink_3752" tooltip="DMTH62M8SPS" display="DMTH62M8SPS"/>
    <hyperlink ref="B1878" r:id="rId_hyperlink_3753" tooltip="https://www.diodes.com/datasheet/download/DMTH63M5LFG.pdf" display="https://www.diodes.com/datasheet/download/DMTH63M5LFG.pdf"/>
    <hyperlink ref="C1878" r:id="rId_hyperlink_3754" tooltip="DMTH63M5LFG" display="DMTH63M5LFG"/>
    <hyperlink ref="B1879" r:id="rId_hyperlink_3755" tooltip="https://www.diodes.com/datasheet/download/DMTH63M5LFGQ.pdf" display="https://www.diodes.com/datasheet/download/DMTH63M5LFGQ.pdf"/>
    <hyperlink ref="C1879" r:id="rId_hyperlink_3756" tooltip="DMTH63M5LFGQ" display="DMTH63M5LFGQ"/>
    <hyperlink ref="B1880" r:id="rId_hyperlink_3757" tooltip="https://www.diodes.com/datasheet/download/DMTH63M6LPSW.pdf" display="https://www.diodes.com/datasheet/download/DMTH63M6LPSW.pdf"/>
    <hyperlink ref="C1880" r:id="rId_hyperlink_3758" tooltip="DMTH63M6LPSW" display="DMTH63M6LPSW"/>
    <hyperlink ref="B1881" r:id="rId_hyperlink_3759" tooltip="https://www.diodes.com/datasheet/download/DMTH63M6LPSWQ.pdf" display="https://www.diodes.com/datasheet/download/DMTH63M6LPSWQ.pdf"/>
    <hyperlink ref="C1881" r:id="rId_hyperlink_3760" tooltip="DMTH63M6LPSWQ" display="DMTH63M6LPSWQ"/>
    <hyperlink ref="B1882" r:id="rId_hyperlink_3761" tooltip="https://www.diodes.com/datasheet/download/DMTH69M8LFVW.pdf" display="https://www.diodes.com/datasheet/download/DMTH69M8LFVW.pdf"/>
    <hyperlink ref="C1882" r:id="rId_hyperlink_3762" tooltip="DMTH69M8LFVW" display="DMTH69M8LFVW"/>
    <hyperlink ref="B1883" r:id="rId_hyperlink_3763" tooltip="https://www.diodes.com/datasheet/download/DMTH69M8LFVWQ.pdf" display="https://www.diodes.com/datasheet/download/DMTH69M8LFVWQ.pdf"/>
    <hyperlink ref="C1883" r:id="rId_hyperlink_3764" tooltip="DMTH69M8LFVWQ" display="DMTH69M8LFVWQ"/>
    <hyperlink ref="B1884" r:id="rId_hyperlink_3765" tooltip="https://www.diodes.com/datasheet/download/DMTH69M9LPDW.pdf" display="https://www.diodes.com/datasheet/download/DMTH69M9LPDW.pdf"/>
    <hyperlink ref="C1884" r:id="rId_hyperlink_3766" tooltip="DMTH69M9LPDW" display="DMTH69M9LPDW"/>
    <hyperlink ref="B1885" r:id="rId_hyperlink_3767" tooltip="https://www.diodes.com/datasheet/download/DMTH69M9LPDWQ.pdf" display="https://www.diodes.com/datasheet/download/DMTH69M9LPDWQ.pdf"/>
    <hyperlink ref="C1885" r:id="rId_hyperlink_3768" tooltip="DMTH69M9LPDWQ" display="DMTH69M9LPDWQ"/>
    <hyperlink ref="B1886" r:id="rId_hyperlink_3769" tooltip="https://www.diodes.com/datasheet/download/DMTH8001STLW.pdf" display="https://www.diodes.com/datasheet/download/DMTH8001STLW.pdf"/>
    <hyperlink ref="C1886" r:id="rId_hyperlink_3770" tooltip="DMTH8001STLW" display="DMTH8001STLW"/>
    <hyperlink ref="B1887" r:id="rId_hyperlink_3771" tooltip="https://www.diodes.com/datasheet/download/DMTH8001STLWQ.pdf" display="https://www.diodes.com/datasheet/download/DMTH8001STLWQ.pdf"/>
    <hyperlink ref="C1887" r:id="rId_hyperlink_3772" tooltip="DMTH8001STLWQ" display="DMTH8001STLWQ"/>
    <hyperlink ref="B1888" r:id="rId_hyperlink_3773" tooltip="https://www.diodes.com/datasheet/download/DMTH8003SPS.pdf" display="https://www.diodes.com/datasheet/download/DMTH8003SPS.pdf"/>
    <hyperlink ref="C1888" r:id="rId_hyperlink_3774" tooltip="DMTH8003SPS" display="DMTH8003SPS"/>
    <hyperlink ref="B1889" r:id="rId_hyperlink_3775" tooltip="https://www.diodes.com/datasheet/download/DMTH8003SPSW.pdf" display="https://www.diodes.com/datasheet/download/DMTH8003SPSW.pdf"/>
    <hyperlink ref="C1889" r:id="rId_hyperlink_3776" tooltip="DMTH8003SPSW" display="DMTH8003SPSW"/>
    <hyperlink ref="B1890" r:id="rId_hyperlink_3777" tooltip="https://www.diodes.com/datasheet/download/DMTH8003SPSWQ.pdf" display="https://www.diodes.com/datasheet/download/DMTH8003SPSWQ.pdf"/>
    <hyperlink ref="C1890" r:id="rId_hyperlink_3778" tooltip="DMTH8003SPSWQ" display="DMTH8003SPSWQ"/>
    <hyperlink ref="B1891" r:id="rId_hyperlink_3779" tooltip="https://www.diodes.com/datasheet/download/DMTH8003STLW.pdf" display="https://www.diodes.com/datasheet/download/DMTH8003STLW.pdf"/>
    <hyperlink ref="C1891" r:id="rId_hyperlink_3780" tooltip="DMTH8003STLW" display="DMTH8003STLW"/>
    <hyperlink ref="B1892" r:id="rId_hyperlink_3781" tooltip="https://www.diodes.com/datasheet/download/DMTH8003STLWQ.pdf" display="https://www.diodes.com/datasheet/download/DMTH8003STLWQ.pdf"/>
    <hyperlink ref="C1892" r:id="rId_hyperlink_3782" tooltip="DMTH8003STLWQ" display="DMTH8003STLWQ"/>
    <hyperlink ref="B1893" r:id="rId_hyperlink_3783" tooltip="https://www.diodes.com/datasheet/download/DMTH8004LPS.pdf" display="https://www.diodes.com/datasheet/download/DMTH8004LPS.pdf"/>
    <hyperlink ref="C1893" r:id="rId_hyperlink_3784" tooltip="DMTH8004LPS" display="DMTH8004LPS"/>
    <hyperlink ref="B1894" r:id="rId_hyperlink_3785" tooltip="https://www.diodes.com/datasheet/download/DMTH8004LPSW.pdf" display="https://www.diodes.com/datasheet/download/DMTH8004LPSW.pdf"/>
    <hyperlink ref="C1894" r:id="rId_hyperlink_3786" tooltip="DMTH8004LPSW" display="DMTH8004LPSW"/>
    <hyperlink ref="B1895" r:id="rId_hyperlink_3787" tooltip="https://www.diodes.com/datasheet/download/DMTH8008LFG.pdf" display="https://www.diodes.com/datasheet/download/DMTH8008LFG.pdf"/>
    <hyperlink ref="C1895" r:id="rId_hyperlink_3788" tooltip="DMTH8008LFG" display="DMTH8008LFG"/>
    <hyperlink ref="B1896" r:id="rId_hyperlink_3789" tooltip="https://www.diodes.com/datasheet/download/DMTH8008LFGQ.pdf" display="https://www.diodes.com/datasheet/download/DMTH8008LFGQ.pdf"/>
    <hyperlink ref="C1896" r:id="rId_hyperlink_3790" tooltip="DMTH8008LFGQ" display="DMTH8008LFGQ"/>
    <hyperlink ref="B1897" r:id="rId_hyperlink_3791" tooltip="https://www.diodes.com/datasheet/download/DMTH8008LPS.pdf" display="https://www.diodes.com/datasheet/download/DMTH8008LPS.pdf"/>
    <hyperlink ref="C1897" r:id="rId_hyperlink_3792" tooltip="DMTH8008LPS" display="DMTH8008LPS"/>
    <hyperlink ref="B1898" r:id="rId_hyperlink_3793" tooltip="https://www.diodes.com/datasheet/download/DMTH8008LPSQ.pdf" display="https://www.diodes.com/datasheet/download/DMTH8008LPSQ.pdf"/>
    <hyperlink ref="C1898" r:id="rId_hyperlink_3794" tooltip="DMTH8008LPSQ" display="DMTH8008LPSQ"/>
    <hyperlink ref="B1899" r:id="rId_hyperlink_3795" tooltip="https://www.diodes.com/datasheet/download/DMTH8008LPSWQ.pdf" display="https://www.diodes.com/datasheet/download/DMTH8008LPSWQ.pdf"/>
    <hyperlink ref="C1899" r:id="rId_hyperlink_3796" tooltip="DMTH8008LPSWQ" display="DMTH8008LPSWQ"/>
    <hyperlink ref="B1900" r:id="rId_hyperlink_3797" tooltip="https://www.diodes.com/datasheet/download/DMTH8008SFG.pdf" display="https://www.diodes.com/datasheet/download/DMTH8008SFG.pdf"/>
    <hyperlink ref="C1900" r:id="rId_hyperlink_3798" tooltip="DMTH8008SFG" display="DMTH8008SFG"/>
    <hyperlink ref="B1901" r:id="rId_hyperlink_3799" tooltip="https://www.diodes.com/datasheet/download/DMTH8008SFGQ.pdf" display="https://www.diodes.com/datasheet/download/DMTH8008SFGQ.pdf"/>
    <hyperlink ref="C1901" r:id="rId_hyperlink_3800" tooltip="DMTH8008SFGQ" display="DMTH8008SFGQ"/>
    <hyperlink ref="B1902" r:id="rId_hyperlink_3801" tooltip="https://www.diodes.com/datasheet/download/DMTH8008SPS.pdf" display="https://www.diodes.com/datasheet/download/DMTH8008SPS.pdf"/>
    <hyperlink ref="C1902" r:id="rId_hyperlink_3802" tooltip="DMTH8008SPS" display="DMTH8008SPS"/>
    <hyperlink ref="B1903" r:id="rId_hyperlink_3803" tooltip="https://www.diodes.com/datasheet/download/DMTH8008SPSQ.pdf" display="https://www.diodes.com/datasheet/download/DMTH8008SPSQ.pdf"/>
    <hyperlink ref="C1903" r:id="rId_hyperlink_3804" tooltip="DMTH8008SPSQ" display="DMTH8008SPSQ"/>
    <hyperlink ref="B1904" r:id="rId_hyperlink_3805" tooltip="https://www.diodes.com/datasheet/download/DMTH8008SPSWQ.pdf" display="https://www.diodes.com/datasheet/download/DMTH8008SPSWQ.pdf"/>
    <hyperlink ref="C1904" r:id="rId_hyperlink_3806" tooltip="DMTH8008SPSWQ" display="DMTH8008SPSWQ"/>
    <hyperlink ref="B1905" r:id="rId_hyperlink_3807" tooltip="https://www.diodes.com/datasheet/download/DMTH8012LK3.pdf" display="https://www.diodes.com/datasheet/download/DMTH8012LK3.pdf"/>
    <hyperlink ref="C1905" r:id="rId_hyperlink_3808" tooltip="DMTH8012LK3" display="DMTH8012LK3"/>
    <hyperlink ref="B1906" r:id="rId_hyperlink_3809" tooltip="https://www.diodes.com/datasheet/download/DMTH8012LK3Q.pdf" display="https://www.diodes.com/datasheet/download/DMTH8012LK3Q.pdf"/>
    <hyperlink ref="C1906" r:id="rId_hyperlink_3810" tooltip="DMTH8012LK3Q" display="DMTH8012LK3Q"/>
    <hyperlink ref="B1907" r:id="rId_hyperlink_3811" tooltip="https://www.diodes.com/datasheet/download/DMTH8012LPS.pdf" display="https://www.diodes.com/datasheet/download/DMTH8012LPS.pdf"/>
    <hyperlink ref="C1907" r:id="rId_hyperlink_3812" tooltip="DMTH8012LPS" display="DMTH8012LPS"/>
    <hyperlink ref="B1908" r:id="rId_hyperlink_3813" tooltip="https://www.diodes.com/datasheet/download/DMTH8012LPSQ.pdf" display="https://www.diodes.com/datasheet/download/DMTH8012LPSQ.pdf"/>
    <hyperlink ref="C1908" r:id="rId_hyperlink_3814" tooltip="DMTH8012LPSQ" display="DMTH8012LPSQ"/>
    <hyperlink ref="B1909" r:id="rId_hyperlink_3815" tooltip="https://www.diodes.com/datasheet/download/DMTH8012LPSW.pdf" display="https://www.diodes.com/datasheet/download/DMTH8012LPSW.pdf"/>
    <hyperlink ref="C1909" r:id="rId_hyperlink_3816" tooltip="DMTH8012LPSW" display="DMTH8012LPSW"/>
    <hyperlink ref="B1910" r:id="rId_hyperlink_3817" tooltip="https://www.diodes.com/datasheet/download/DMTH8028LFVW.pdf" display="https://www.diodes.com/datasheet/download/DMTH8028LFVW.pdf"/>
    <hyperlink ref="C1910" r:id="rId_hyperlink_3818" tooltip="DMTH8028LFVW" display="DMTH8028LFVW"/>
    <hyperlink ref="B1911" r:id="rId_hyperlink_3819" tooltip="https://www.diodes.com/datasheet/download/DMTH8028LFVWQ.pdf" display="https://www.diodes.com/datasheet/download/DMTH8028LFVWQ.pdf"/>
    <hyperlink ref="C1911" r:id="rId_hyperlink_3820" tooltip="DMTH8028LFVWQ" display="DMTH8028LFVWQ"/>
    <hyperlink ref="B1912" r:id="rId_hyperlink_3821" tooltip="https://www.diodes.com/datasheet/download/DMTH8028LPSW.pdf" display="https://www.diodes.com/datasheet/download/DMTH8028LPSW.pdf"/>
    <hyperlink ref="C1912" r:id="rId_hyperlink_3822" tooltip="DMTH8028LPSW" display="DMTH8028LPSW"/>
    <hyperlink ref="B1913" r:id="rId_hyperlink_3823" tooltip="https://www.diodes.com/datasheet/download/DMTH8028LPSWQ.pdf" display="https://www.diodes.com/datasheet/download/DMTH8028LPSWQ.pdf"/>
    <hyperlink ref="C1913" r:id="rId_hyperlink_3824" tooltip="DMTH8028LPSWQ" display="DMTH8028LPSWQ"/>
    <hyperlink ref="B1914" r:id="rId_hyperlink_3825" tooltip="https://www.diodes.com/datasheet/download/DMTH8030LFDFW.pdf" display="https://www.diodes.com/datasheet/download/DMTH8030LFDFW.pdf"/>
    <hyperlink ref="C1914" r:id="rId_hyperlink_3826" tooltip="DMTH8030LFDFW" display="DMTH8030LFDFW"/>
    <hyperlink ref="B1915" r:id="rId_hyperlink_3827" tooltip="https://www.diodes.com/datasheet/download/DMTH8030LFDFWQ.pdf" display="https://www.diodes.com/datasheet/download/DMTH8030LFDFWQ.pdf"/>
    <hyperlink ref="C1915" r:id="rId_hyperlink_3828" tooltip="DMTH8030LFDFWQ" display="DMTH8030LFDFWQ"/>
    <hyperlink ref="B1916" r:id="rId_hyperlink_3829" tooltip="https://www.diodes.com/datasheet/download/DMTH8030LPDW.pdf" display="https://www.diodes.com/datasheet/download/DMTH8030LPDW.pdf"/>
    <hyperlink ref="C1916" r:id="rId_hyperlink_3830" tooltip="DMTH8030LPDW" display="DMTH8030LPDW"/>
    <hyperlink ref="B1917" r:id="rId_hyperlink_3831" tooltip="https://www.diodes.com/datasheet/download/DMTH8030LPDWQ.pdf" display="https://www.diodes.com/datasheet/download/DMTH8030LPDWQ.pdf"/>
    <hyperlink ref="C1917" r:id="rId_hyperlink_3832" tooltip="DMTH8030LPDWQ" display="DMTH8030LPDWQ"/>
    <hyperlink ref="B1918" r:id="rId_hyperlink_3833" tooltip="https://www.diodes.com/datasheet/download/DMTH83M2SPSW.pdf" display="https://www.diodes.com/datasheet/download/DMTH83M2SPSW.pdf"/>
    <hyperlink ref="C1918" r:id="rId_hyperlink_3834" tooltip="DMTH83M2SPSW" display="DMTH83M2SPSW"/>
    <hyperlink ref="B1919" r:id="rId_hyperlink_3835" tooltip="https://www.diodes.com/datasheet/download/DMTH83M2SPSWQ.pdf" display="https://www.diodes.com/datasheet/download/DMTH83M2SPSWQ.pdf"/>
    <hyperlink ref="C1919" r:id="rId_hyperlink_3836" tooltip="DMTH83M2SPSWQ" display="DMTH83M2SPSWQ"/>
    <hyperlink ref="B1920" r:id="rId_hyperlink_3837" tooltip="https://www.diodes.com/datasheet/download/DMTH84M1SPS.pdf" display="https://www.diodes.com/datasheet/download/DMTH84M1SPS.pdf"/>
    <hyperlink ref="C1920" r:id="rId_hyperlink_3838" tooltip="DMTH84M1SPS" display="DMTH84M1SPS"/>
    <hyperlink ref="B1921" r:id="rId_hyperlink_3839" tooltip="https://www.diodes.com/datasheet/download/DMTH84M1SPSQ.pdf" display="https://www.diodes.com/datasheet/download/DMTH84M1SPSQ.pdf"/>
    <hyperlink ref="C1921" r:id="rId_hyperlink_3840" tooltip="DMTH84M1SPSQ" display="DMTH84M1SPSQ"/>
    <hyperlink ref="B1922" r:id="rId_hyperlink_3841" tooltip="https://www.diodes.com/datasheet/download/DMTH84M1SPSW.pdf" display="https://www.diodes.com/datasheet/download/DMTH84M1SPSW.pdf"/>
    <hyperlink ref="C1922" r:id="rId_hyperlink_3842" tooltip="DMTH84M1SPSW" display="DMTH84M1SPSW"/>
    <hyperlink ref="B1923" r:id="rId_hyperlink_3843" tooltip="https://www.diodes.com/datasheet/download/DMTH84M1SPSWQ.pdf" display="https://www.diodes.com/datasheet/download/DMTH84M1SPSWQ.pdf"/>
    <hyperlink ref="C1923" r:id="rId_hyperlink_3844" tooltip="DMTH84M1SPSWQ" display="DMTH84M1SPSWQ"/>
    <hyperlink ref="B1924" r:id="rId_hyperlink_3845" tooltip="https://www.diodes.com/datasheet/download/DMWS120H100SM4.pdf" display="https://www.diodes.com/datasheet/download/DMWS120H100SM4.pdf"/>
    <hyperlink ref="C1924" r:id="rId_hyperlink_3846" tooltip="DMWS120H100SM4" display="DMWS120H100SM4"/>
    <hyperlink ref="B1925" r:id="rId_hyperlink_3847" tooltip="https://www.diodes.com/datasheet/download/DMWSH120H23SM3.pdf" display="https://www.diodes.com/datasheet/download/DMWSH120H23SM3.pdf"/>
    <hyperlink ref="C1925" r:id="rId_hyperlink_3848" tooltip="DMWSH120H23SM3" display="DMWSH120H23SM3"/>
    <hyperlink ref="B1926" r:id="rId_hyperlink_3849" tooltip="https://www.diodes.com/datasheet/download/DMWSH120H23SM4.pdf" display="https://www.diodes.com/datasheet/download/DMWSH120H23SM4.pdf"/>
    <hyperlink ref="C1926" r:id="rId_hyperlink_3850" tooltip="DMWSH120H23SM4" display="DMWSH120H23SM4"/>
    <hyperlink ref="B1927" r:id="rId_hyperlink_3851" tooltip="https://www.diodes.com/datasheet/download/DMWSH120H28SM3.pdf" display="https://www.diodes.com/datasheet/download/DMWSH120H28SM3.pdf"/>
    <hyperlink ref="C1927" r:id="rId_hyperlink_3852" tooltip="DMWSH120H28SM3" display="DMWSH120H28SM3"/>
    <hyperlink ref="B1928" r:id="rId_hyperlink_3853" tooltip="https://www.diodes.com/datasheet/download/DMWSH120H28SM3Q.pdf" display="https://www.diodes.com/datasheet/download/DMWSH120H28SM3Q.pdf"/>
    <hyperlink ref="C1928" r:id="rId_hyperlink_3854" tooltip="DMWSH120H28SM3Q" display="DMWSH120H28SM3Q"/>
    <hyperlink ref="B1929" r:id="rId_hyperlink_3855" tooltip="https://www.diodes.com/datasheet/download/DMWSH120H28SM4.pdf" display="https://www.diodes.com/datasheet/download/DMWSH120H28SM4.pdf"/>
    <hyperlink ref="C1929" r:id="rId_hyperlink_3856" tooltip="DMWSH120H28SM4" display="DMWSH120H28SM4"/>
    <hyperlink ref="B1930" r:id="rId_hyperlink_3857" tooltip="https://www.diodes.com/datasheet/download/DMWSH120H28SM4Q.pdf" display="https://www.diodes.com/datasheet/download/DMWSH120H28SM4Q.pdf"/>
    <hyperlink ref="C1930" r:id="rId_hyperlink_3858" tooltip="DMWSH120H28SM4Q" display="DMWSH120H28SM4Q"/>
    <hyperlink ref="B1931" r:id="rId_hyperlink_3859" tooltip="https://www.diodes.com/datasheet/download/DMWSH120H43SM3.pdf" display="https://www.diodes.com/datasheet/download/DMWSH120H43SM3.pdf"/>
    <hyperlink ref="C1931" r:id="rId_hyperlink_3860" tooltip="DMWSH120H43SM3" display="DMWSH120H43SM3"/>
    <hyperlink ref="B1932" r:id="rId_hyperlink_3861" tooltip="https://www.diodes.com/datasheet/download/DMWSH120H43SM3Q.pdf" display="https://www.diodes.com/datasheet/download/DMWSH120H43SM3Q.pdf"/>
    <hyperlink ref="C1932" r:id="rId_hyperlink_3862" tooltip="DMWSH120H43SM3Q" display="DMWSH120H43SM3Q"/>
    <hyperlink ref="B1933" r:id="rId_hyperlink_3863" tooltip="https://www.diodes.com/datasheet/download/DMWSH120H43SM4.pdf" display="https://www.diodes.com/datasheet/download/DMWSH120H43SM4.pdf"/>
    <hyperlink ref="C1933" r:id="rId_hyperlink_3864" tooltip="DMWSH120H43SM4" display="DMWSH120H43SM4"/>
    <hyperlink ref="B1934" r:id="rId_hyperlink_3865" tooltip="https://www.diodes.com/datasheet/download/DMWSH120H43SM4Q.pdf" display="https://www.diodes.com/datasheet/download/DMWSH120H43SM4Q.pdf"/>
    <hyperlink ref="C1934" r:id="rId_hyperlink_3866" tooltip="DMWSH120H43SM4Q" display="DMWSH120H43SM4Q"/>
    <hyperlink ref="B1935" r:id="rId_hyperlink_3867" tooltip="https://www.diodes.com/datasheet/download/DMWSH120H80SM3.pdf" display="https://www.diodes.com/datasheet/download/DMWSH120H80SM3.pdf"/>
    <hyperlink ref="C1935" r:id="rId_hyperlink_3868" tooltip="DMWSH120H80SM3" display="DMWSH120H80SM3"/>
    <hyperlink ref="B1936" r:id="rId_hyperlink_3869" tooltip="https://www.diodes.com/datasheet/download/DMWSH120H80SM4.pdf" display="https://www.diodes.com/datasheet/download/DMWSH120H80SM4.pdf"/>
    <hyperlink ref="C1936" r:id="rId_hyperlink_3870" tooltip="DMWSH120H80SM4" display="DMWSH120H80SM4"/>
    <hyperlink ref="B1937" r:id="rId_hyperlink_3871" tooltip="https://www.diodes.com/datasheet/download/DMWSH120H90SCT7.pdf" display="https://www.diodes.com/datasheet/download/DMWSH120H90SCT7.pdf"/>
    <hyperlink ref="C1937" r:id="rId_hyperlink_3872" tooltip="DMWSH120H90SCT7" display="DMWSH120H90SCT7"/>
    <hyperlink ref="B1938" r:id="rId_hyperlink_3873" tooltip="https://www.diodes.com/datasheet/download/DMWSH120H90SCT7Q.pdf" display="https://www.diodes.com/datasheet/download/DMWSH120H90SCT7Q.pdf"/>
    <hyperlink ref="C1938" r:id="rId_hyperlink_3874" tooltip="DMWSH120H90SCT7Q" display="DMWSH120H90SCT7Q"/>
    <hyperlink ref="B1939" r:id="rId_hyperlink_3875" tooltip="https://www.diodes.com/datasheet/download/DMWSH120H90SM3.pdf" display="https://www.diodes.com/datasheet/download/DMWSH120H90SM3.pdf"/>
    <hyperlink ref="C1939" r:id="rId_hyperlink_3876" tooltip="DMWSH120H90SM3" display="DMWSH120H90SM3"/>
    <hyperlink ref="B1940" r:id="rId_hyperlink_3877" tooltip="https://www.diodes.com/datasheet/download/DMWSH120H90SM3Q.pdf" display="https://www.diodes.com/datasheet/download/DMWSH120H90SM3Q.pdf"/>
    <hyperlink ref="C1940" r:id="rId_hyperlink_3878" tooltip="DMWSH120H90SM3Q" display="DMWSH120H90SM3Q"/>
    <hyperlink ref="B1941" r:id="rId_hyperlink_3879" tooltip="https://www.diodes.com/datasheet/download/DMWSH120H90SM4.pdf" display="https://www.diodes.com/datasheet/download/DMWSH120H90SM4.pdf"/>
    <hyperlink ref="C1941" r:id="rId_hyperlink_3880" tooltip="DMWSH120H90SM4" display="DMWSH120H90SM4"/>
    <hyperlink ref="B1942" r:id="rId_hyperlink_3881" tooltip="https://www.diodes.com/datasheet/download/DMWSH120H90SM4Q.pdf" display="https://www.diodes.com/datasheet/download/DMWSH120H90SM4Q.pdf"/>
    <hyperlink ref="C1942" r:id="rId_hyperlink_3882" tooltip="DMWSH120H90SM4Q" display="DMWSH120H90SM4Q"/>
    <hyperlink ref="B1943" r:id="rId_hyperlink_3883" tooltip="https://www.diodes.com/datasheet/download/DTM3A25P20NFDB.pdf" display="https://www.diodes.com/datasheet/download/DTM3A25P20NFDB.pdf"/>
    <hyperlink ref="C1943" r:id="rId_hyperlink_3884" tooltip="DTM3A25P20NFDB" display="DTM3A25P20NFDB"/>
    <hyperlink ref="B1944" r:id="rId_hyperlink_3885" tooltip="https://www.diodes.com/datasheet/download/MMBF170.pdf" display="https://www.diodes.com/datasheet/download/MMBF170.pdf"/>
    <hyperlink ref="C1944" r:id="rId_hyperlink_3886" tooltip="MMBF170" display="MMBF170"/>
    <hyperlink ref="B1945" r:id="rId_hyperlink_3887" tooltip="https://www.diodes.com/datasheet/download/MMBF170Q.pdf" display="https://www.diodes.com/datasheet/download/MMBF170Q.pdf"/>
    <hyperlink ref="C1945" r:id="rId_hyperlink_3888" tooltip="MMBF170Q" display="MMBF170Q"/>
    <hyperlink ref="B1946" r:id="rId_hyperlink_3889" tooltip="https://www.diodes.com/datasheet/download/NMSD200B01.pdf" display="https://www.diodes.com/datasheet/download/NMSD200B01.pdf"/>
    <hyperlink ref="C1946" r:id="rId_hyperlink_3890" tooltip="NMSD200B01" display="NMSD200B01"/>
    <hyperlink ref="B1947" r:id="rId_hyperlink_3891" tooltip="https://www.diodes.com/datasheet/download/VN10LF.pdf" display="https://www.diodes.com/datasheet/download/VN10LF.pdf"/>
    <hyperlink ref="C1947" r:id="rId_hyperlink_3892" tooltip="VN10LF" display="VN10LF"/>
    <hyperlink ref="B1948" r:id="rId_hyperlink_3893" tooltip="https://www.diodes.com/datasheet/download/VN10LP.pdf" display="https://www.diodes.com/datasheet/download/VN10LP.pdf"/>
    <hyperlink ref="C1948" r:id="rId_hyperlink_3894" tooltip="VN10LP" display="VN10LP"/>
    <hyperlink ref="B1949" r:id="rId_hyperlink_3895" tooltip="https://www.diodes.com/datasheet/download/ZVN0124A.pdf" display="https://www.diodes.com/datasheet/download/ZVN0124A.pdf"/>
    <hyperlink ref="C1949" r:id="rId_hyperlink_3896" tooltip="ZVN0124A" display="ZVN0124A"/>
    <hyperlink ref="B1950" r:id="rId_hyperlink_3897" tooltip="https://www.diodes.com/datasheet/download/ZVN0545A.pdf" display="https://www.diodes.com/datasheet/download/ZVN0545A.pdf"/>
    <hyperlink ref="C1950" r:id="rId_hyperlink_3898" tooltip="ZVN0545A" display="ZVN0545A"/>
    <hyperlink ref="B1951" r:id="rId_hyperlink_3899" tooltip="https://www.diodes.com/datasheet/download/ZVN0545G.pdf" display="https://www.diodes.com/datasheet/download/ZVN0545G.pdf"/>
    <hyperlink ref="C1951" r:id="rId_hyperlink_3900" tooltip="ZVN0545G" display="ZVN0545G"/>
    <hyperlink ref="B1952" r:id="rId_hyperlink_3901" tooltip="https://www.diodes.com/datasheet/download/ZVN2106A.pdf" display="https://www.diodes.com/datasheet/download/ZVN2106A.pdf"/>
    <hyperlink ref="C1952" r:id="rId_hyperlink_3902" tooltip="ZVN2106A" display="ZVN2106A"/>
    <hyperlink ref="B1953" r:id="rId_hyperlink_3903" tooltip="https://www.diodes.com/datasheet/download/ZVN2106G.pdf" display="https://www.diodes.com/datasheet/download/ZVN2106G.pdf"/>
    <hyperlink ref="C1953" r:id="rId_hyperlink_3904" tooltip="ZVN2106G" display="ZVN2106G"/>
    <hyperlink ref="B1954" r:id="rId_hyperlink_3905" tooltip="https://www.diodes.com/datasheet/download/ZVN2110A.pdf" display="https://www.diodes.com/datasheet/download/ZVN2110A.pdf"/>
    <hyperlink ref="C1954" r:id="rId_hyperlink_3906" tooltip="ZVN2110A" display="ZVN2110A"/>
    <hyperlink ref="B1955" r:id="rId_hyperlink_3907" tooltip="https://www.diodes.com/datasheet/download/ZVN2110G.pdf" display="https://www.diodes.com/datasheet/download/ZVN2110G.pdf"/>
    <hyperlink ref="C1955" r:id="rId_hyperlink_3908" tooltip="ZVN2110G" display="ZVN2110G"/>
    <hyperlink ref="B1956" r:id="rId_hyperlink_3909" tooltip="https://www.diodes.com/datasheet/download/ZVN2120G.pdf" display="https://www.diodes.com/datasheet/download/ZVN2120G.pdf"/>
    <hyperlink ref="C1956" r:id="rId_hyperlink_3910" tooltip="ZVN2120G" display="ZVN2120G"/>
    <hyperlink ref="B1957" r:id="rId_hyperlink_3911" tooltip="https://www.diodes.com/datasheet/download/ZVN3306A.pdf" display="https://www.diodes.com/datasheet/download/ZVN3306A.pdf"/>
    <hyperlink ref="C1957" r:id="rId_hyperlink_3912" tooltip="ZVN3306A" display="ZVN3306A"/>
    <hyperlink ref="B1958" r:id="rId_hyperlink_3913" tooltip="https://www.diodes.com/datasheet/download/ZVN3306F.pdf" display="https://www.diodes.com/datasheet/download/ZVN3306F.pdf"/>
    <hyperlink ref="C1958" r:id="rId_hyperlink_3914" tooltip="ZVN3306F" display="ZVN3306F"/>
    <hyperlink ref="B1959" r:id="rId_hyperlink_3915" tooltip="https://www.diodes.com/datasheet/download/ZVN3310A.pdf" display="https://www.diodes.com/datasheet/download/ZVN3310A.pdf"/>
    <hyperlink ref="C1959" r:id="rId_hyperlink_3916" tooltip="ZVN3310A" display="ZVN3310A"/>
    <hyperlink ref="B1960" r:id="rId_hyperlink_3917" tooltip="https://www.diodes.com/datasheet/download/ZVN3310F.pdf" display="https://www.diodes.com/datasheet/download/ZVN3310F.pdf"/>
    <hyperlink ref="C1960" r:id="rId_hyperlink_3918" tooltip="ZVN3310F" display="ZVN3310F"/>
    <hyperlink ref="B1961" r:id="rId_hyperlink_3919" tooltip="https://www.diodes.com/datasheet/download/ZVN3320F.pdf" display="https://www.diodes.com/datasheet/download/ZVN3320F.pdf"/>
    <hyperlink ref="C1961" r:id="rId_hyperlink_3920" tooltip="ZVN3320F" display="ZVN3320F"/>
    <hyperlink ref="B1962" r:id="rId_hyperlink_3921" tooltip="https://www.diodes.com/datasheet/download/ZVN4106F.pdf" display="https://www.diodes.com/datasheet/download/ZVN4106F.pdf"/>
    <hyperlink ref="C1962" r:id="rId_hyperlink_3922" tooltip="ZVN4106F" display="ZVN4106F"/>
    <hyperlink ref="B1963" r:id="rId_hyperlink_3923" tooltip="https://www.diodes.com/datasheet/download/ZVN4206A.pdf" display="https://www.diodes.com/datasheet/download/ZVN4206A.pdf"/>
    <hyperlink ref="C1963" r:id="rId_hyperlink_3924" tooltip="ZVN4206A" display="ZVN4206A"/>
    <hyperlink ref="B1964" r:id="rId_hyperlink_3925" tooltip="https://www.diodes.com/datasheet/download/ZVN4206AV.pdf" display="https://www.diodes.com/datasheet/download/ZVN4206AV.pdf"/>
    <hyperlink ref="C1964" r:id="rId_hyperlink_3926" tooltip="ZVN4206AV" display="ZVN4206AV"/>
    <hyperlink ref="B1965" r:id="rId_hyperlink_3927" tooltip="https://www.diodes.com/datasheet/download/ZVN4206G.pdf" display="https://www.diodes.com/datasheet/download/ZVN4206G.pdf"/>
    <hyperlink ref="C1965" r:id="rId_hyperlink_3928" tooltip="ZVN4206G" display="ZVN4206G"/>
    <hyperlink ref="B1966" r:id="rId_hyperlink_3929" tooltip="https://www.diodes.com/datasheet/download/ZVN4206GV.pdf" display="https://www.diodes.com/datasheet/download/ZVN4206GV.pdf"/>
    <hyperlink ref="C1966" r:id="rId_hyperlink_3930" tooltip="ZVN4206GV" display="ZVN4206GV"/>
    <hyperlink ref="B1967" r:id="rId_hyperlink_3931" tooltip="https://www.diodes.com/datasheet/download/ZVN4210A.pdf" display="https://www.diodes.com/datasheet/download/ZVN4210A.pdf"/>
    <hyperlink ref="C1967" r:id="rId_hyperlink_3932" tooltip="ZVN4210A" display="ZVN4210A"/>
    <hyperlink ref="B1968" r:id="rId_hyperlink_3933" tooltip="https://www.diodes.com/datasheet/download/ZVN4210G.pdf" display="https://www.diodes.com/datasheet/download/ZVN4210G.pdf"/>
    <hyperlink ref="C1968" r:id="rId_hyperlink_3934" tooltip="ZVN4210G" display="ZVN4210G"/>
    <hyperlink ref="B1969" r:id="rId_hyperlink_3935" tooltip="https://www.diodes.com/datasheet/download/ZVN4306A.pdf" display="https://www.diodes.com/datasheet/download/ZVN4306A.pdf"/>
    <hyperlink ref="C1969" r:id="rId_hyperlink_3936" tooltip="ZVN4306A" display="ZVN4306A"/>
    <hyperlink ref="B1970" r:id="rId_hyperlink_3937" tooltip="https://www.diodes.com/datasheet/download/ZVN4306AV.pdf" display="https://www.diodes.com/datasheet/download/ZVN4306AV.pdf"/>
    <hyperlink ref="C1970" r:id="rId_hyperlink_3938" tooltip="ZVN4306AV" display="ZVN4306AV"/>
    <hyperlink ref="B1971" r:id="rId_hyperlink_3939" tooltip="https://www.diodes.com/datasheet/download/ZVN4306G.pdf" display="https://www.diodes.com/datasheet/download/ZVN4306G.pdf"/>
    <hyperlink ref="C1971" r:id="rId_hyperlink_3940" tooltip="ZVN4306G" display="ZVN4306G"/>
    <hyperlink ref="B1972" r:id="rId_hyperlink_3941" tooltip="https://www.diodes.com/datasheet/download/ZVN4306GV.pdf" display="https://www.diodes.com/datasheet/download/ZVN4306GV.pdf"/>
    <hyperlink ref="C1972" r:id="rId_hyperlink_3942" tooltip="ZVN4306GV" display="ZVN4306GV"/>
    <hyperlink ref="B1973" r:id="rId_hyperlink_3943" tooltip="https://www.diodes.com/datasheet/download/ZVN4310A.pdf" display="https://www.diodes.com/datasheet/download/ZVN4310A.pdf"/>
    <hyperlink ref="C1973" r:id="rId_hyperlink_3944" tooltip="ZVN4310A" display="ZVN4310A"/>
    <hyperlink ref="B1974" r:id="rId_hyperlink_3945" tooltip="https://www.diodes.com/datasheet/download/ZVN4310G.pdf" display="https://www.diodes.com/datasheet/download/ZVN4310G.pdf"/>
    <hyperlink ref="C1974" r:id="rId_hyperlink_3946" tooltip="ZVN4310G" display="ZVN4310G"/>
    <hyperlink ref="B1975" r:id="rId_hyperlink_3947" tooltip="https://www.diodes.com/datasheet/download/ZVN4424A.pdf" display="https://www.diodes.com/datasheet/download/ZVN4424A.pdf"/>
    <hyperlink ref="C1975" r:id="rId_hyperlink_3948" tooltip="ZVN4424A" display="ZVN4424A"/>
    <hyperlink ref="B1976" r:id="rId_hyperlink_3949" tooltip="https://www.diodes.com/datasheet/download/ZVN4424G.pdf" display="https://www.diodes.com/datasheet/download/ZVN4424G.pdf"/>
    <hyperlink ref="C1976" r:id="rId_hyperlink_3950" tooltip="ZVN4424G" display="ZVN4424G"/>
    <hyperlink ref="B1977" r:id="rId_hyperlink_3951" tooltip="https://www.diodes.com/datasheet/download/ZVN4525E6.pdf" display="https://www.diodes.com/datasheet/download/ZVN4525E6.pdf"/>
    <hyperlink ref="C1977" r:id="rId_hyperlink_3952" tooltip="ZVN4525E6" display="ZVN4525E6"/>
    <hyperlink ref="B1978" r:id="rId_hyperlink_3953" tooltip="https://www.diodes.com/datasheet/download/ZVN4525G.pdf" display="https://www.diodes.com/datasheet/download/ZVN4525G.pdf"/>
    <hyperlink ref="C1978" r:id="rId_hyperlink_3954" tooltip="ZVN4525G" display="ZVN4525G"/>
    <hyperlink ref="B1979" r:id="rId_hyperlink_3955" tooltip="https://www.diodes.com/datasheet/download/ZVN4525Z.pdf" display="https://www.diodes.com/datasheet/download/ZVN4525Z.pdf"/>
    <hyperlink ref="C1979" r:id="rId_hyperlink_3956" tooltip="ZVN4525Z" display="ZVN4525Z"/>
    <hyperlink ref="B1980" r:id="rId_hyperlink_3957" tooltip="https://www.diodes.com/datasheet/download/ZVNL110A.pdf" display="https://www.diodes.com/datasheet/download/ZVNL110A.pdf"/>
    <hyperlink ref="C1980" r:id="rId_hyperlink_3958" tooltip="ZVNL110A" display="ZVNL110A"/>
    <hyperlink ref="B1981" r:id="rId_hyperlink_3959" tooltip="https://www.diodes.com/datasheet/download/ZVNL110G.pdf" display="https://www.diodes.com/datasheet/download/ZVNL110G.pdf"/>
    <hyperlink ref="C1981" r:id="rId_hyperlink_3960" tooltip="ZVNL110G" display="ZVNL110G"/>
    <hyperlink ref="B1982" r:id="rId_hyperlink_3961" tooltip="https://www.diodes.com/datasheet/download/ZVNL120A.pdf" display="https://www.diodes.com/datasheet/download/ZVNL120A.pdf"/>
    <hyperlink ref="C1982" r:id="rId_hyperlink_3962" tooltip="ZVNL120A" display="ZVNL120A"/>
    <hyperlink ref="B1983" r:id="rId_hyperlink_3963" tooltip="https://www.diodes.com/datasheet/download/ZVNL120G.pdf" display="https://www.diodes.com/datasheet/download/ZVNL120G.pdf"/>
    <hyperlink ref="C1983" r:id="rId_hyperlink_3964" tooltip="ZVNL120G" display="ZVNL120G"/>
    <hyperlink ref="B1984" r:id="rId_hyperlink_3965" tooltip="https://www.diodes.com/datasheet/download/ZVP0545A.pdf" display="https://www.diodes.com/datasheet/download/ZVP0545A.pdf"/>
    <hyperlink ref="C1984" r:id="rId_hyperlink_3966" tooltip="ZVP0545A" display="ZVP0545A"/>
    <hyperlink ref="B1985" r:id="rId_hyperlink_3967" tooltip="https://www.diodes.com/datasheet/download/ZVP0545G.pdf" display="https://www.diodes.com/datasheet/download/ZVP0545G.pdf"/>
    <hyperlink ref="C1985" r:id="rId_hyperlink_3968" tooltip="ZVP0545G" display="ZVP0545G"/>
    <hyperlink ref="B1986" r:id="rId_hyperlink_3969" tooltip="https://www.diodes.com/datasheet/download/ZVP1320F.pdf" display="https://www.diodes.com/datasheet/download/ZVP1320F.pdf"/>
    <hyperlink ref="C1986" r:id="rId_hyperlink_3970" tooltip="ZVP1320F" display="ZVP1320F"/>
    <hyperlink ref="B1987" r:id="rId_hyperlink_3971" tooltip="https://www.diodes.com/datasheet/download/ZVP1320FQ.pdf" display="https://www.diodes.com/datasheet/download/ZVP1320FQ.pdf"/>
    <hyperlink ref="C1987" r:id="rId_hyperlink_3972" tooltip="ZVP1320FQ" display="ZVP1320FQ"/>
    <hyperlink ref="B1988" r:id="rId_hyperlink_3973" tooltip="https://www.diodes.com/datasheet/download/ZVP2106A.pdf" display="https://www.diodes.com/datasheet/download/ZVP2106A.pdf"/>
    <hyperlink ref="C1988" r:id="rId_hyperlink_3974" tooltip="ZVP2106A" display="ZVP2106A"/>
    <hyperlink ref="B1989" r:id="rId_hyperlink_3975" tooltip="https://www.diodes.com/datasheet/download/ZVP2106G.pdf" display="https://www.diodes.com/datasheet/download/ZVP2106G.pdf"/>
    <hyperlink ref="C1989" r:id="rId_hyperlink_3976" tooltip="ZVP2106G" display="ZVP2106G"/>
    <hyperlink ref="B1990" r:id="rId_hyperlink_3977" tooltip="https://www.diodes.com/datasheet/download/ZVP2110A.pdf" display="https://www.diodes.com/datasheet/download/ZVP2110A.pdf"/>
    <hyperlink ref="C1990" r:id="rId_hyperlink_3978" tooltip="ZVP2110A" display="ZVP2110A"/>
    <hyperlink ref="B1991" r:id="rId_hyperlink_3979" tooltip="https://www.diodes.com/datasheet/download/ZVP2110G.pdf" display="https://www.diodes.com/datasheet/download/ZVP2110G.pdf"/>
    <hyperlink ref="C1991" r:id="rId_hyperlink_3980" tooltip="ZVP2110G" display="ZVP2110G"/>
    <hyperlink ref="B1992" r:id="rId_hyperlink_3981" tooltip="https://www.diodes.com/datasheet/download/ZVP2120A.pdf" display="https://www.diodes.com/datasheet/download/ZVP2120A.pdf"/>
    <hyperlink ref="C1992" r:id="rId_hyperlink_3982" tooltip="ZVP2120A" display="ZVP2120A"/>
    <hyperlink ref="B1993" r:id="rId_hyperlink_3983" tooltip="https://www.diodes.com/datasheet/download/ZVP2120G.pdf" display="https://www.diodes.com/datasheet/download/ZVP2120G.pdf"/>
    <hyperlink ref="C1993" r:id="rId_hyperlink_3984" tooltip="ZVP2120G" display="ZVP2120G"/>
    <hyperlink ref="B1994" r:id="rId_hyperlink_3985" tooltip="https://www.diodes.com/datasheet/download/ZVP3306A.pdf" display="https://www.diodes.com/datasheet/download/ZVP3306A.pdf"/>
    <hyperlink ref="C1994" r:id="rId_hyperlink_3986" tooltip="ZVP3306A" display="ZVP3306A"/>
    <hyperlink ref="B1995" r:id="rId_hyperlink_3987" tooltip="https://www.diodes.com/datasheet/download/ZVP3306F.pdf" display="https://www.diodes.com/datasheet/download/ZVP3306F.pdf"/>
    <hyperlink ref="C1995" r:id="rId_hyperlink_3988" tooltip="ZVP3306F" display="ZVP3306F"/>
    <hyperlink ref="B1996" r:id="rId_hyperlink_3989" tooltip="https://www.diodes.com/datasheet/download/ZVP3310A.pdf" display="https://www.diodes.com/datasheet/download/ZVP3310A.pdf"/>
    <hyperlink ref="C1996" r:id="rId_hyperlink_3990" tooltip="ZVP3310A" display="ZVP3310A"/>
    <hyperlink ref="B1997" r:id="rId_hyperlink_3991" tooltip="https://www.diodes.com/datasheet/download/ZVP3310F.pdf" display="https://www.diodes.com/datasheet/download/ZVP3310F.pdf"/>
    <hyperlink ref="C1997" r:id="rId_hyperlink_3992" tooltip="ZVP3310F" display="ZVP3310F"/>
    <hyperlink ref="B1998" r:id="rId_hyperlink_3993" tooltip="https://www.diodes.com/datasheet/download/ZVP3310FQ.pdf" display="https://www.diodes.com/datasheet/download/ZVP3310FQ.pdf"/>
    <hyperlink ref="C1998" r:id="rId_hyperlink_3994" tooltip="ZVP3310FQ" display="ZVP3310FQ"/>
    <hyperlink ref="B1999" r:id="rId_hyperlink_3995" tooltip="https://www.diodes.com/datasheet/download/ZVP4424A.pdf" display="https://www.diodes.com/datasheet/download/ZVP4424A.pdf"/>
    <hyperlink ref="C1999" r:id="rId_hyperlink_3996" tooltip="ZVP4424A" display="ZVP4424A"/>
    <hyperlink ref="B2000" r:id="rId_hyperlink_3997" tooltip="https://www.diodes.com/datasheet/download/ZVP4424G.pdf" display="https://www.diodes.com/datasheet/download/ZVP4424G.pdf"/>
    <hyperlink ref="C2000" r:id="rId_hyperlink_3998" tooltip="ZVP4424G" display="ZVP4424G"/>
    <hyperlink ref="B2001" r:id="rId_hyperlink_3999" tooltip="https://www.diodes.com/datasheet/download/ZVP4424Z.pdf" display="https://www.diodes.com/datasheet/download/ZVP4424Z.pdf"/>
    <hyperlink ref="C2001" r:id="rId_hyperlink_4000" tooltip="ZVP4424Z" display="ZVP4424Z"/>
    <hyperlink ref="B2002" r:id="rId_hyperlink_4001" tooltip="https://www.diodes.com/datasheet/download/ZVP4525E6.pdf" display="https://www.diodes.com/datasheet/download/ZVP4525E6.pdf"/>
    <hyperlink ref="C2002" r:id="rId_hyperlink_4002" tooltip="ZVP4525E6" display="ZVP4525E6"/>
    <hyperlink ref="B2003" r:id="rId_hyperlink_4003" tooltip="https://www.diodes.com/datasheet/download/ZVP4525G.pdf" display="https://www.diodes.com/datasheet/download/ZVP4525G.pdf"/>
    <hyperlink ref="C2003" r:id="rId_hyperlink_4004" tooltip="ZVP4525G" display="ZVP4525G"/>
    <hyperlink ref="B2004" r:id="rId_hyperlink_4005" tooltip="https://www.diodes.com/datasheet/download/ZVP4525GQ.pdf" display="https://www.diodes.com/datasheet/download/ZVP4525GQ.pdf"/>
    <hyperlink ref="C2004" r:id="rId_hyperlink_4006" tooltip="ZVP4525GQ" display="ZVP4525GQ"/>
    <hyperlink ref="B2005" r:id="rId_hyperlink_4007" tooltip="https://www.diodes.com/datasheet/download/ZVP4525Z.pdf" display="https://www.diodes.com/datasheet/download/ZVP4525Z.pdf"/>
    <hyperlink ref="C2005" r:id="rId_hyperlink_4008" tooltip="ZVP4525Z" display="ZVP4525Z"/>
    <hyperlink ref="B2006" r:id="rId_hyperlink_4009" tooltip="https://www.diodes.com/datasheet/download/ZXM61N02F.pdf" display="https://www.diodes.com/datasheet/download/ZXM61N02F.pdf"/>
    <hyperlink ref="C2006" r:id="rId_hyperlink_4010" tooltip="ZXM61N02F" display="ZXM61N02F"/>
    <hyperlink ref="B2007" r:id="rId_hyperlink_4011" tooltip="https://www.diodes.com/datasheet/download/ZXM61N03F.pdf" display="https://www.diodes.com/datasheet/download/ZXM61N03F.pdf"/>
    <hyperlink ref="C2007" r:id="rId_hyperlink_4012" tooltip="ZXM61N03F" display="ZXM61N03F"/>
    <hyperlink ref="B2008" r:id="rId_hyperlink_4013" tooltip="https://www.diodes.com/datasheet/download/ZXM61P02F.pdf" display="https://www.diodes.com/datasheet/download/ZXM61P02F.pdf"/>
    <hyperlink ref="C2008" r:id="rId_hyperlink_4014" tooltip="ZXM61P02F" display="ZXM61P02F"/>
    <hyperlink ref="B2009" r:id="rId_hyperlink_4015" tooltip="https://www.diodes.com/datasheet/download/ZXM61P03F.pdf" display="https://www.diodes.com/datasheet/download/ZXM61P03F.pdf"/>
    <hyperlink ref="C2009" r:id="rId_hyperlink_4016" tooltip="ZXM61P03F" display="ZXM61P03F"/>
    <hyperlink ref="B2010" r:id="rId_hyperlink_4017" tooltip="https://www.diodes.com/datasheet/download/ZXM62P02E6.pdf" display="https://www.diodes.com/datasheet/download/ZXM62P02E6.pdf"/>
    <hyperlink ref="C2010" r:id="rId_hyperlink_4018" tooltip="ZXM62P02E6" display="ZXM62P02E6"/>
    <hyperlink ref="B2011" r:id="rId_hyperlink_4019" tooltip="https://www.diodes.com/datasheet/download/ZXM62P03E6.pdf" display="https://www.diodes.com/datasheet/download/ZXM62P03E6.pdf"/>
    <hyperlink ref="C2011" r:id="rId_hyperlink_4020" tooltip="ZXM62P03E6" display="ZXM62P03E6"/>
    <hyperlink ref="B2012" r:id="rId_hyperlink_4021" tooltip="https://www.diodes.com/datasheet/download/ZXM64P02X.pdf" display="https://www.diodes.com/datasheet/download/ZXM64P02X.pdf"/>
    <hyperlink ref="C2012" r:id="rId_hyperlink_4022" tooltip="ZXM64P02X" display="ZXM64P02X"/>
    <hyperlink ref="B2013" r:id="rId_hyperlink_4023" tooltip="https://www.diodes.com/datasheet/download/ZXM64P03X.pdf" display="https://www.diodes.com/datasheet/download/ZXM64P03X.pdf"/>
    <hyperlink ref="C2013" r:id="rId_hyperlink_4024" tooltip="ZXM64P03X" display="ZXM64P03X"/>
    <hyperlink ref="B2014" r:id="rId_hyperlink_4025" tooltip="https://www.diodes.com/datasheet/download/ZXMC3A16DN8.pdf" display="https://www.diodes.com/datasheet/download/ZXMC3A16DN8.pdf"/>
    <hyperlink ref="C2014" r:id="rId_hyperlink_4026" tooltip="ZXMC3A16DN8" display="ZXMC3A16DN8"/>
    <hyperlink ref="B2015" r:id="rId_hyperlink_4027" tooltip="https://www.diodes.com/datasheet/download/ZXMC3A16DN8Q.pdf" display="https://www.diodes.com/datasheet/download/ZXMC3A16DN8Q.pdf"/>
    <hyperlink ref="C2015" r:id="rId_hyperlink_4028" tooltip="ZXMC3A16DN8Q" display="ZXMC3A16DN8Q"/>
    <hyperlink ref="B2016" r:id="rId_hyperlink_4029" tooltip="https://www.diodes.com/datasheet/download/ZXMC3A17DN8.pdf" display="https://www.diodes.com/datasheet/download/ZXMC3A17DN8.pdf"/>
    <hyperlink ref="C2016" r:id="rId_hyperlink_4030" tooltip="ZXMC3A17DN8" display="ZXMC3A17DN8"/>
    <hyperlink ref="B2017" r:id="rId_hyperlink_4031" tooltip="https://www.diodes.com/datasheet/download/ZXMC3A18DN8.pdf" display="https://www.diodes.com/datasheet/download/ZXMC3A18DN8.pdf"/>
    <hyperlink ref="C2017" r:id="rId_hyperlink_4032" tooltip="ZXMC3A18DN8" display="ZXMC3A18DN8"/>
    <hyperlink ref="B2018" r:id="rId_hyperlink_4033" tooltip="https://www.diodes.com/datasheet/download/ZXMC3AMC.pdf" display="https://www.diodes.com/datasheet/download/ZXMC3AMC.pdf"/>
    <hyperlink ref="C2018" r:id="rId_hyperlink_4034" tooltip="ZXMC3AMC" display="ZXMC3AMC"/>
    <hyperlink ref="B2019" r:id="rId_hyperlink_4035" tooltip="https://www.diodes.com/datasheet/download/ZXMC3F31DN8.pdf" display="https://www.diodes.com/datasheet/download/ZXMC3F31DN8.pdf"/>
    <hyperlink ref="C2019" r:id="rId_hyperlink_4036" tooltip="ZXMC3F31DN8" display="ZXMC3F31DN8"/>
    <hyperlink ref="B2020" r:id="rId_hyperlink_4037" tooltip="https://www.diodes.com/datasheet/download/ZXMC4559DN8.pdf" display="https://www.diodes.com/datasheet/download/ZXMC4559DN8.pdf"/>
    <hyperlink ref="C2020" r:id="rId_hyperlink_4038" tooltip="ZXMC4559DN8" display="ZXMC4559DN8"/>
    <hyperlink ref="B2021" r:id="rId_hyperlink_4039" tooltip="https://www.diodes.com/datasheet/download/ZXMC4A16DN8.pdf" display="https://www.diodes.com/datasheet/download/ZXMC4A16DN8.pdf"/>
    <hyperlink ref="C2021" r:id="rId_hyperlink_4040" tooltip="ZXMC4A16DN8" display="ZXMC4A16DN8"/>
    <hyperlink ref="B2022" r:id="rId_hyperlink_4041" tooltip="https://www.diodes.com/datasheet/download/ZXMC6A09DN8.pdf" display="https://www.diodes.com/datasheet/download/ZXMC6A09DN8.pdf"/>
    <hyperlink ref="C2022" r:id="rId_hyperlink_4042" tooltip="ZXMC6A09DN8" display="ZXMC6A09DN8"/>
    <hyperlink ref="B2023" r:id="rId_hyperlink_4043" tooltip="https://www.diodes.com/datasheet/download/ZXMD63N03X.pdf" display="https://www.diodes.com/datasheet/download/ZXMD63N03X.pdf"/>
    <hyperlink ref="C2023" r:id="rId_hyperlink_4044" tooltip="ZXMD63N03X" display="ZXMD63N03X"/>
    <hyperlink ref="B2024" r:id="rId_hyperlink_4045" tooltip="https://www.diodes.com/datasheet/download/ZXMHC10A07N8.pdf" display="https://www.diodes.com/datasheet/download/ZXMHC10A07N8.pdf"/>
    <hyperlink ref="C2024" r:id="rId_hyperlink_4046" tooltip="ZXMHC10A07N8" display="ZXMHC10A07N8"/>
    <hyperlink ref="B2025" r:id="rId_hyperlink_4047" tooltip="https://www.diodes.com/datasheet/download/ZXMHC10A07T8.pdf" display="https://www.diodes.com/datasheet/download/ZXMHC10A07T8.pdf"/>
    <hyperlink ref="C2025" r:id="rId_hyperlink_4048" tooltip="ZXMHC10A07T8" display="ZXMHC10A07T8"/>
    <hyperlink ref="B2026" r:id="rId_hyperlink_4049" tooltip="https://www.diodes.com/datasheet/download/ZXMHC3A01N8.pdf" display="https://www.diodes.com/datasheet/download/ZXMHC3A01N8.pdf"/>
    <hyperlink ref="C2026" r:id="rId_hyperlink_4050" tooltip="ZXMHC3A01N8" display="ZXMHC3A01N8"/>
    <hyperlink ref="B2027" r:id="rId_hyperlink_4051" tooltip="https://www.diodes.com/datasheet/download/ZXMHC3A01T8.pdf" display="https://www.diodes.com/datasheet/download/ZXMHC3A01T8.pdf"/>
    <hyperlink ref="C2027" r:id="rId_hyperlink_4052" tooltip="ZXMHC3A01T8" display="ZXMHC3A01T8"/>
    <hyperlink ref="B2028" r:id="rId_hyperlink_4053" tooltip="https://www.diodes.com/datasheet/download/ZXMHC3F381N8.pdf" display="https://www.diodes.com/datasheet/download/ZXMHC3F381N8.pdf"/>
    <hyperlink ref="C2028" r:id="rId_hyperlink_4054" tooltip="ZXMHC3F381N8" display="ZXMHC3F381N8"/>
    <hyperlink ref="B2029" r:id="rId_hyperlink_4055" tooltip="https://www.diodes.com/datasheet/download/ZXMHC6A07N8.pdf" display="https://www.diodes.com/datasheet/download/ZXMHC6A07N8.pdf"/>
    <hyperlink ref="C2029" r:id="rId_hyperlink_4056" tooltip="ZXMHC6A07N8" display="ZXMHC6A07N8"/>
    <hyperlink ref="B2030" r:id="rId_hyperlink_4057" tooltip="https://www.diodes.com/datasheet/download/ZXMHC6A07T8.pdf" display="https://www.diodes.com/datasheet/download/ZXMHC6A07T8.pdf"/>
    <hyperlink ref="C2030" r:id="rId_hyperlink_4058" tooltip="ZXMHC6A07T8" display="ZXMHC6A07T8"/>
    <hyperlink ref="B2031" r:id="rId_hyperlink_4059" tooltip="https://www.diodes.com/datasheet/download/ZXMHN6A07T8.pdf" display="https://www.diodes.com/datasheet/download/ZXMHN6A07T8.pdf"/>
    <hyperlink ref="C2031" r:id="rId_hyperlink_4060" tooltip="ZXMHN6A07T8" display="ZXMHN6A07T8"/>
    <hyperlink ref="B2032" r:id="rId_hyperlink_4061" tooltip="https://www.diodes.com/datasheet/download/ZXMN10A07F.pdf" display="https://www.diodes.com/datasheet/download/ZXMN10A07F.pdf"/>
    <hyperlink ref="C2032" r:id="rId_hyperlink_4062" tooltip="ZXMN10A07F" display="ZXMN10A07F"/>
    <hyperlink ref="B2033" r:id="rId_hyperlink_4063" tooltip="https://www.diodes.com/datasheet/download/ZXMN10A07Z.pdf" display="https://www.diodes.com/datasheet/download/ZXMN10A07Z.pdf"/>
    <hyperlink ref="C2033" r:id="rId_hyperlink_4064" tooltip="ZXMN10A07Z" display="ZXMN10A07Z"/>
    <hyperlink ref="B2034" r:id="rId_hyperlink_4065" tooltip="https://www.diodes.com/datasheet/download/ZXMN10A08DN8.pdf" display="https://www.diodes.com/datasheet/download/ZXMN10A08DN8.pdf"/>
    <hyperlink ref="C2034" r:id="rId_hyperlink_4066" tooltip="ZXMN10A08DN8" display="ZXMN10A08DN8"/>
    <hyperlink ref="B2035" r:id="rId_hyperlink_4067" tooltip="https://www.diodes.com/datasheet/download/ZXMN10A08E6.pdf" display="https://www.diodes.com/datasheet/download/ZXMN10A08E6.pdf"/>
    <hyperlink ref="C2035" r:id="rId_hyperlink_4068" tooltip="ZXMN10A08E6" display="ZXMN10A08E6"/>
    <hyperlink ref="B2036" r:id="rId_hyperlink_4069" tooltip="https://www.diodes.com/datasheet/download/ZXMN10A08G.pdf" display="https://www.diodes.com/datasheet/download/ZXMN10A08G.pdf"/>
    <hyperlink ref="C2036" r:id="rId_hyperlink_4070" tooltip="ZXMN10A08G" display="ZXMN10A08G"/>
    <hyperlink ref="B2037" r:id="rId_hyperlink_4071" tooltip="https://www.diodes.com/datasheet/download/ZXMN10A09K.pdf" display="https://www.diodes.com/datasheet/download/ZXMN10A09K.pdf"/>
    <hyperlink ref="C2037" r:id="rId_hyperlink_4072" tooltip="ZXMN10A09K" display="ZXMN10A09K"/>
    <hyperlink ref="B2038" r:id="rId_hyperlink_4073" tooltip="https://www.diodes.com/datasheet/download/ZXMN10A11G.pdf" display="https://www.diodes.com/datasheet/download/ZXMN10A11G.pdf"/>
    <hyperlink ref="C2038" r:id="rId_hyperlink_4074" tooltip="ZXMN10A11G" display="ZXMN10A11G"/>
    <hyperlink ref="B2039" r:id="rId_hyperlink_4075" tooltip="https://www.diodes.com/datasheet/download/ZXMN10A11K.pdf" display="https://www.diodes.com/datasheet/download/ZXMN10A11K.pdf"/>
    <hyperlink ref="C2039" r:id="rId_hyperlink_4076" tooltip="ZXMN10A11K" display="ZXMN10A11K"/>
    <hyperlink ref="B2040" r:id="rId_hyperlink_4077" tooltip="https://www.diodes.com/datasheet/download/ZXMN10A25G.pdf" display="https://www.diodes.com/datasheet/download/ZXMN10A25G.pdf"/>
    <hyperlink ref="C2040" r:id="rId_hyperlink_4078" tooltip="ZXMN10A25G" display="ZXMN10A25G"/>
    <hyperlink ref="B2041" r:id="rId_hyperlink_4079" tooltip="https://www.diodes.com/datasheet/download/ZXMN10A25K.pdf" display="https://www.diodes.com/datasheet/download/ZXMN10A25K.pdf"/>
    <hyperlink ref="C2041" r:id="rId_hyperlink_4080" tooltip="ZXMN10A25K" display="ZXMN10A25K"/>
    <hyperlink ref="B2042" r:id="rId_hyperlink_4081" tooltip="https://www.diodes.com/datasheet/download/ZXMN10B08E6.pdf" display="https://www.diodes.com/datasheet/download/ZXMN10B08E6.pdf"/>
    <hyperlink ref="C2042" r:id="rId_hyperlink_4082" tooltip="ZXMN10B08E6" display="ZXMN10B08E6"/>
    <hyperlink ref="B2043" r:id="rId_hyperlink_4083" tooltip="https://www.diodes.com/datasheet/download/ZXMN15A27K.pdf" display="https://www.diodes.com/datasheet/download/ZXMN15A27K.pdf"/>
    <hyperlink ref="C2043" r:id="rId_hyperlink_4084" tooltip="ZXMN15A27K" display="ZXMN15A27K"/>
    <hyperlink ref="B2044" r:id="rId_hyperlink_4085" tooltip="https://www.diodes.com/datasheet/download/ZXMN20B28K.pdf" display="https://www.diodes.com/datasheet/download/ZXMN20B28K.pdf"/>
    <hyperlink ref="C2044" r:id="rId_hyperlink_4086" tooltip="ZXMN20B28K" display="ZXMN20B28K"/>
    <hyperlink ref="B2045" r:id="rId_hyperlink_4087" tooltip="https://www.diodes.com/datasheet/download/ZXMN2A01E6.pdf" display="https://www.diodes.com/datasheet/download/ZXMN2A01E6.pdf"/>
    <hyperlink ref="C2045" r:id="rId_hyperlink_4088" tooltip="ZXMN2A01E6" display="ZXMN2A01E6"/>
    <hyperlink ref="B2046" r:id="rId_hyperlink_4089" tooltip="https://www.diodes.com/datasheet/download/ZXMN2A01F.pdf" display="https://www.diodes.com/datasheet/download/ZXMN2A01F.pdf"/>
    <hyperlink ref="C2046" r:id="rId_hyperlink_4090" tooltip="ZXMN2A01F" display="ZXMN2A01F"/>
    <hyperlink ref="B2047" r:id="rId_hyperlink_4091" tooltip="https://www.diodes.com/datasheet/download/ZXMN2A02N8.pdf" display="https://www.diodes.com/datasheet/download/ZXMN2A02N8.pdf"/>
    <hyperlink ref="C2047" r:id="rId_hyperlink_4092" tooltip="ZXMN2A02N8" display="ZXMN2A02N8"/>
    <hyperlink ref="B2048" r:id="rId_hyperlink_4093" tooltip="https://www.diodes.com/datasheet/download/ZXMN2A03E6.pdf" display="https://www.diodes.com/datasheet/download/ZXMN2A03E6.pdf"/>
    <hyperlink ref="C2048" r:id="rId_hyperlink_4094" tooltip="ZXMN2A03E6" display="ZXMN2A03E6"/>
    <hyperlink ref="B2049" r:id="rId_hyperlink_4095" tooltip="https://www.diodes.com/datasheet/download/ZXMN2A04DN8.pdf" display="https://www.diodes.com/datasheet/download/ZXMN2A04DN8.pdf"/>
    <hyperlink ref="C2049" r:id="rId_hyperlink_4096" tooltip="ZXMN2A04DN8" display="ZXMN2A04DN8"/>
    <hyperlink ref="B2050" r:id="rId_hyperlink_4097" tooltip="https://www.diodes.com/datasheet/download/ZXMN2A14F.pdf" display="https://www.diodes.com/datasheet/download/ZXMN2A14F.pdf"/>
    <hyperlink ref="C2050" r:id="rId_hyperlink_4098" tooltip="ZXMN2A14F" display="ZXMN2A14F"/>
    <hyperlink ref="B2051" r:id="rId_hyperlink_4099" tooltip="https://www.diodes.com/datasheet/download/ZXMN2AMC.pdf" display="https://www.diodes.com/datasheet/download/ZXMN2AMC.pdf"/>
    <hyperlink ref="C2051" r:id="rId_hyperlink_4100" tooltip="ZXMN2AMC" display="ZXMN2AMC"/>
    <hyperlink ref="B2052" r:id="rId_hyperlink_4101" tooltip="https://www.diodes.com/datasheet/download/ZXMN2B01F.pdf" display="https://www.diodes.com/datasheet/download/ZXMN2B01F.pdf"/>
    <hyperlink ref="C2052" r:id="rId_hyperlink_4102" tooltip="ZXMN2B01F" display="ZXMN2B01F"/>
    <hyperlink ref="B2053" r:id="rId_hyperlink_4103" tooltip="https://www.diodes.com/datasheet/download/ZXMN2B03E6.pdf" display="https://www.diodes.com/datasheet/download/ZXMN2B03E6.pdf"/>
    <hyperlink ref="C2053" r:id="rId_hyperlink_4104" tooltip="ZXMN2B03E6" display="ZXMN2B03E6"/>
    <hyperlink ref="B2054" r:id="rId_hyperlink_4105" tooltip="https://www.diodes.com/datasheet/download/ZXMN2B14FH.pdf" display="https://www.diodes.com/datasheet/download/ZXMN2B14FH.pdf"/>
    <hyperlink ref="C2054" r:id="rId_hyperlink_4106" tooltip="ZXMN2B14FH" display="ZXMN2B14FH"/>
    <hyperlink ref="B2055" r:id="rId_hyperlink_4107" tooltip="https://www.diodes.com/datasheet/download/ZXMN2F30FH.pdf" display="https://www.diodes.com/datasheet/download/ZXMN2F30FH.pdf"/>
    <hyperlink ref="C2055" r:id="rId_hyperlink_4108" tooltip="ZXMN2F30FH" display="ZXMN2F30FH"/>
    <hyperlink ref="B2056" r:id="rId_hyperlink_4109" tooltip="https://www.diodes.com/datasheet/download/ZXMN2F34FH.pdf" display="https://www.diodes.com/datasheet/download/ZXMN2F34FH.pdf"/>
    <hyperlink ref="C2056" r:id="rId_hyperlink_4110" tooltip="ZXMN2F34FH" display="ZXMN2F34FH"/>
    <hyperlink ref="B2057" r:id="rId_hyperlink_4111" tooltip="https://www.diodes.com/datasheet/download/ZXMN3A01E6.pdf" display="https://www.diodes.com/datasheet/download/ZXMN3A01E6.pdf"/>
    <hyperlink ref="C2057" r:id="rId_hyperlink_4112" tooltip="ZXMN3A01E6" display="ZXMN3A01E6"/>
    <hyperlink ref="B2058" r:id="rId_hyperlink_4113" tooltip="https://www.diodes.com/datasheet/download/ZXMN3A01F.pdf" display="https://www.diodes.com/datasheet/download/ZXMN3A01F.pdf"/>
    <hyperlink ref="C2058" r:id="rId_hyperlink_4114" tooltip="ZXMN3A01F" display="ZXMN3A01F"/>
    <hyperlink ref="B2059" r:id="rId_hyperlink_4115" tooltip="https://www.diodes.com/datasheet/download/ZXMN3A01Z.pdf" display="https://www.diodes.com/datasheet/download/ZXMN3A01Z.pdf"/>
    <hyperlink ref="C2059" r:id="rId_hyperlink_4116" tooltip="ZXMN3A01Z" display="ZXMN3A01Z"/>
    <hyperlink ref="B2060" r:id="rId_hyperlink_4117" tooltip="https://www.diodes.com/datasheet/download/ZXMN3A02X8.pdf" display="https://www.diodes.com/datasheet/download/ZXMN3A02X8.pdf"/>
    <hyperlink ref="C2060" r:id="rId_hyperlink_4118" tooltip="ZXMN3A02X8" display="ZXMN3A02X8"/>
    <hyperlink ref="B2061" r:id="rId_hyperlink_4119" tooltip="https://www.diodes.com/datasheet/download/ZXMN3A03E6.pdf" display="https://www.diodes.com/datasheet/download/ZXMN3A03E6.pdf"/>
    <hyperlink ref="C2061" r:id="rId_hyperlink_4120" tooltip="ZXMN3A03E6" display="ZXMN3A03E6"/>
    <hyperlink ref="B2062" r:id="rId_hyperlink_4121" tooltip="https://www.diodes.com/datasheet/download/ZXMN3A04DN8.pdf" display="https://www.diodes.com/datasheet/download/ZXMN3A04DN8.pdf"/>
    <hyperlink ref="C2062" r:id="rId_hyperlink_4122" tooltip="ZXMN3A04DN8" display="ZXMN3A04DN8"/>
    <hyperlink ref="B2063" r:id="rId_hyperlink_4123" tooltip="https://www.diodes.com/datasheet/download/ZXMN3A04K.pdf" display="https://www.diodes.com/datasheet/download/ZXMN3A04K.pdf"/>
    <hyperlink ref="C2063" r:id="rId_hyperlink_4124" tooltip="ZXMN3A04K" display="ZXMN3A04K"/>
    <hyperlink ref="B2064" r:id="rId_hyperlink_4125" tooltip="https://www.diodes.com/datasheet/download/ZXMN3A06DN8.pdf" display="https://www.diodes.com/datasheet/download/ZXMN3A06DN8.pdf"/>
    <hyperlink ref="C2064" r:id="rId_hyperlink_4126" tooltip="ZXMN3A06DN8" display="ZXMN3A06DN8"/>
    <hyperlink ref="B2065" r:id="rId_hyperlink_4127" tooltip="https://www.diodes.com/datasheet/download/ZXMN3A14F.pdf" display="https://www.diodes.com/datasheet/download/ZXMN3A14F.pdf"/>
    <hyperlink ref="C2065" r:id="rId_hyperlink_4128" tooltip="ZXMN3A14F" display="ZXMN3A14F"/>
    <hyperlink ref="B2066" r:id="rId_hyperlink_4129" tooltip="https://www.diodes.com/datasheet/download/ZXMN3A14FQ.pdf" display="https://www.diodes.com/datasheet/download/ZXMN3A14FQ.pdf"/>
    <hyperlink ref="C2066" r:id="rId_hyperlink_4130" tooltip="ZXMN3A14FQ" display="ZXMN3A14FQ"/>
    <hyperlink ref="B2067" r:id="rId_hyperlink_4131" tooltip="https://www.diodes.com/datasheet/download/ZXMN3AMC.pdf" display="https://www.diodes.com/datasheet/download/ZXMN3AMC.pdf"/>
    <hyperlink ref="C2067" r:id="rId_hyperlink_4132" tooltip="ZXMN3AMC" display="ZXMN3AMC"/>
    <hyperlink ref="B2068" r:id="rId_hyperlink_4133" tooltip="https://www.diodes.com/datasheet/download/ZXMN3B01F.pdf" display="https://www.diodes.com/datasheet/download/ZXMN3B01F.pdf"/>
    <hyperlink ref="C2068" r:id="rId_hyperlink_4134" tooltip="ZXMN3B01F" display="ZXMN3B01F"/>
    <hyperlink ref="B2069" r:id="rId_hyperlink_4135" tooltip="https://www.diodes.com/datasheet/download/ZXMN3B04N8.pdf" display="https://www.diodes.com/datasheet/download/ZXMN3B04N8.pdf"/>
    <hyperlink ref="C2069" r:id="rId_hyperlink_4136" tooltip="ZXMN3B04N8" display="ZXMN3B04N8"/>
    <hyperlink ref="B2070" r:id="rId_hyperlink_4137" tooltip="https://www.diodes.com/datasheet/download/ZXMN3B14F.pdf" display="https://www.diodes.com/datasheet/download/ZXMN3B14F.pdf"/>
    <hyperlink ref="C2070" r:id="rId_hyperlink_4138" tooltip="ZXMN3B14F" display="ZXMN3B14F"/>
    <hyperlink ref="B2071" r:id="rId_hyperlink_4139" tooltip="https://www.diodes.com/datasheet/download/ZXMN3F30FH.pdf" display="https://www.diodes.com/datasheet/download/ZXMN3F30FH.pdf"/>
    <hyperlink ref="C2071" r:id="rId_hyperlink_4140" tooltip="ZXMN3F30FH" display="ZXMN3F30FH"/>
    <hyperlink ref="B2072" r:id="rId_hyperlink_4141" tooltip="https://www.diodes.com/datasheet/download/ZXMN3F31DN8.pdf" display="https://www.diodes.com/datasheet/download/ZXMN3F31DN8.pdf"/>
    <hyperlink ref="C2072" r:id="rId_hyperlink_4142" tooltip="ZXMN3F31DN8" display="ZXMN3F31DN8"/>
    <hyperlink ref="B2073" r:id="rId_hyperlink_4143" tooltip="https://www.diodes.com/datasheet/download/ZXMN3G32DN8.pdf" display="https://www.diodes.com/datasheet/download/ZXMN3G32DN8.pdf"/>
    <hyperlink ref="C2073" r:id="rId_hyperlink_4144" tooltip="ZXMN3G32DN8" display="ZXMN3G32DN8"/>
    <hyperlink ref="B2074" r:id="rId_hyperlink_4145" tooltip="https://www.diodes.com/datasheet/download/ZXMN4A06G.pdf" display="https://www.diodes.com/datasheet/download/ZXMN4A06G.pdf"/>
    <hyperlink ref="C2074" r:id="rId_hyperlink_4146" tooltip="ZXMN4A06G" display="ZXMN4A06G"/>
    <hyperlink ref="B2075" r:id="rId_hyperlink_4147" tooltip="https://www.diodes.com/datasheet/download/ZXMN4A06GQ.pdf" display="https://www.diodes.com/datasheet/download/ZXMN4A06GQ.pdf"/>
    <hyperlink ref="C2075" r:id="rId_hyperlink_4148" tooltip="ZXMN4A06GQ" display="ZXMN4A06GQ"/>
    <hyperlink ref="B2076" r:id="rId_hyperlink_4149" tooltip="https://www.diodes.com/datasheet/download/ZXMN4A06K.pdf" display="https://www.diodes.com/datasheet/download/ZXMN4A06K.pdf"/>
    <hyperlink ref="C2076" r:id="rId_hyperlink_4150" tooltip="ZXMN4A06K" display="ZXMN4A06K"/>
    <hyperlink ref="B2077" r:id="rId_hyperlink_4151" tooltip="https://www.diodes.com/datasheet/download/ZXMN6A07F.pdf" display="https://www.diodes.com/datasheet/download/ZXMN6A07F.pdf"/>
    <hyperlink ref="C2077" r:id="rId_hyperlink_4152" tooltip="ZXMN6A07F" display="ZXMN6A07F"/>
    <hyperlink ref="B2078" r:id="rId_hyperlink_4153" tooltip="https://www.diodes.com/datasheet/download/ZXMN6A07FQ.pdf" display="https://www.diodes.com/datasheet/download/ZXMN6A07FQ.pdf"/>
    <hyperlink ref="C2078" r:id="rId_hyperlink_4154" tooltip="ZXMN6A07FQ" display="ZXMN6A07FQ"/>
    <hyperlink ref="B2079" r:id="rId_hyperlink_4155" tooltip="https://www.diodes.com/datasheet/download/ZXMN6A07Z.pdf" display="https://www.diodes.com/datasheet/download/ZXMN6A07Z.pdf"/>
    <hyperlink ref="C2079" r:id="rId_hyperlink_4156" tooltip="ZXMN6A07Z" display="ZXMN6A07Z"/>
    <hyperlink ref="B2080" r:id="rId_hyperlink_4157" tooltip="https://www.diodes.com/datasheet/download/ZXMN6A08E6.pdf" display="https://www.diodes.com/datasheet/download/ZXMN6A08E6.pdf"/>
    <hyperlink ref="C2080" r:id="rId_hyperlink_4158" tooltip="ZXMN6A08E6" display="ZXMN6A08E6"/>
    <hyperlink ref="B2081" r:id="rId_hyperlink_4159" tooltip="https://www.diodes.com/datasheet/download/ZXMN6A08E6Q.pdf" display="https://www.diodes.com/datasheet/download/ZXMN6A08E6Q.pdf"/>
    <hyperlink ref="C2081" r:id="rId_hyperlink_4160" tooltip="ZXMN6A08E6Q" display="ZXMN6A08E6Q"/>
    <hyperlink ref="B2082" r:id="rId_hyperlink_4161" tooltip="https://www.diodes.com/datasheet/download/ZXMN6A08G.pdf" display="https://www.diodes.com/datasheet/download/ZXMN6A08G.pdf"/>
    <hyperlink ref="C2082" r:id="rId_hyperlink_4162" tooltip="ZXMN6A08G" display="ZXMN6A08G"/>
    <hyperlink ref="B2083" r:id="rId_hyperlink_4163" tooltip="https://www.diodes.com/datasheet/download/ZXMN6A08GQ.pdf" display="https://www.diodes.com/datasheet/download/ZXMN6A08GQ.pdf"/>
    <hyperlink ref="C2083" r:id="rId_hyperlink_4164" tooltip="ZXMN6A08GQ" display="ZXMN6A08GQ"/>
    <hyperlink ref="B2084" r:id="rId_hyperlink_4165" tooltip="https://www.diodes.com/datasheet/download/ZXMN6A08K.pdf" display="https://www.diodes.com/datasheet/download/ZXMN6A08K.pdf"/>
    <hyperlink ref="C2084" r:id="rId_hyperlink_4166" tooltip="ZXMN6A08K" display="ZXMN6A08K"/>
    <hyperlink ref="B2085" r:id="rId_hyperlink_4167" tooltip="https://www.diodes.com/datasheet/download/ZXMN6A09DN8.pdf" display="https://www.diodes.com/datasheet/download/ZXMN6A09DN8.pdf"/>
    <hyperlink ref="C2085" r:id="rId_hyperlink_4168" tooltip="ZXMN6A09DN8" display="ZXMN6A09DN8"/>
    <hyperlink ref="B2086" r:id="rId_hyperlink_4169" tooltip="https://www.diodes.com/datasheet/download/ZXMN6A09G.pdf" display="https://www.diodes.com/datasheet/download/ZXMN6A09G.pdf"/>
    <hyperlink ref="C2086" r:id="rId_hyperlink_4170" tooltip="ZXMN6A09G" display="ZXMN6A09G"/>
    <hyperlink ref="B2087" r:id="rId_hyperlink_4171" tooltip="https://www.diodes.com/datasheet/download/ZXMN6A09GQ.pdf" display="https://www.diodes.com/datasheet/download/ZXMN6A09GQ.pdf"/>
    <hyperlink ref="C2087" r:id="rId_hyperlink_4172" tooltip="ZXMN6A09GQ" display="ZXMN6A09GQ"/>
    <hyperlink ref="B2088" r:id="rId_hyperlink_4173" tooltip="https://www.diodes.com/datasheet/download/ZXMN6A09K.pdf" display="https://www.diodes.com/datasheet/download/ZXMN6A09K.pdf"/>
    <hyperlink ref="C2088" r:id="rId_hyperlink_4174" tooltip="ZXMN6A09K" display="ZXMN6A09K"/>
    <hyperlink ref="B2089" r:id="rId_hyperlink_4175" tooltip="https://www.diodes.com/datasheet/download/ZXMN6A11DN8.pdf" display="https://www.diodes.com/datasheet/download/ZXMN6A11DN8.pdf"/>
    <hyperlink ref="C2089" r:id="rId_hyperlink_4176" tooltip="ZXMN6A11DN8" display="ZXMN6A11DN8"/>
    <hyperlink ref="B2090" r:id="rId_hyperlink_4177" tooltip="https://www.diodes.com/datasheet/download/ZXMN6A11G.pdf" display="https://www.diodes.com/datasheet/download/ZXMN6A11G.pdf"/>
    <hyperlink ref="C2090" r:id="rId_hyperlink_4178" tooltip="ZXMN6A11G" display="ZXMN6A11G"/>
    <hyperlink ref="B2091" r:id="rId_hyperlink_4179" tooltip="https://www.diodes.com/datasheet/download/ZXMN6A11Z.pdf" display="https://www.diodes.com/datasheet/download/ZXMN6A11Z.pdf"/>
    <hyperlink ref="C2091" r:id="rId_hyperlink_4180" tooltip="ZXMN6A11Z" display="ZXMN6A11Z"/>
    <hyperlink ref="B2092" r:id="rId_hyperlink_4181" tooltip="https://www.diodes.com/datasheet/download/ZXMN6A25DN8.pdf" display="https://www.diodes.com/datasheet/download/ZXMN6A25DN8.pdf"/>
    <hyperlink ref="C2092" r:id="rId_hyperlink_4182" tooltip="ZXMN6A25DN8" display="ZXMN6A25DN8"/>
    <hyperlink ref="B2093" r:id="rId_hyperlink_4183" tooltip="https://www.diodes.com/datasheet/download/ZXMN6A25G.pdf" display="https://www.diodes.com/datasheet/download/ZXMN6A25G.pdf"/>
    <hyperlink ref="C2093" r:id="rId_hyperlink_4184" tooltip="ZXMN6A25G" display="ZXMN6A25G"/>
    <hyperlink ref="B2094" r:id="rId_hyperlink_4185" tooltip="https://www.diodes.com/datasheet/download/ZXMN6A25K.pdf" display="https://www.diodes.com/datasheet/download/ZXMN6A25K.pdf"/>
    <hyperlink ref="C2094" r:id="rId_hyperlink_4186" tooltip="ZXMN6A25K" display="ZXMN6A25K"/>
    <hyperlink ref="B2095" r:id="rId_hyperlink_4187" tooltip="https://www.diodes.com/datasheet/download/ZXMN6A25N8.pdf" display="https://www.diodes.com/datasheet/download/ZXMN6A25N8.pdf"/>
    <hyperlink ref="C2095" r:id="rId_hyperlink_4188" tooltip="ZXMN6A25N8" display="ZXMN6A25N8"/>
    <hyperlink ref="B2096" r:id="rId_hyperlink_4189" tooltip="https://www.diodes.com/datasheet/download/ZXMN7A11G.pdf" display="https://www.diodes.com/datasheet/download/ZXMN7A11G.pdf"/>
    <hyperlink ref="C2096" r:id="rId_hyperlink_4190" tooltip="ZXMN7A11G" display="ZXMN7A11G"/>
    <hyperlink ref="B2097" r:id="rId_hyperlink_4191" tooltip="https://www.diodes.com/datasheet/download/ZXMN7A11GQ.pdf" display="https://www.diodes.com/datasheet/download/ZXMN7A11GQ.pdf"/>
    <hyperlink ref="C2097" r:id="rId_hyperlink_4192" tooltip="ZXMN7A11GQ" display="ZXMN7A11GQ"/>
    <hyperlink ref="B2098" r:id="rId_hyperlink_4193" tooltip="https://www.diodes.com/datasheet/download/ZXMN7A11K.pdf" display="https://www.diodes.com/datasheet/download/ZXMN7A11K.pdf"/>
    <hyperlink ref="C2098" r:id="rId_hyperlink_4194" tooltip="ZXMN7A11K" display="ZXMN7A11K"/>
    <hyperlink ref="B2099" r:id="rId_hyperlink_4195" tooltip="https://www.diodes.com/datasheet/download/ZXMP10A13F.pdf" display="https://www.diodes.com/datasheet/download/ZXMP10A13F.pdf"/>
    <hyperlink ref="C2099" r:id="rId_hyperlink_4196" tooltip="ZXMP10A13F" display="ZXMP10A13F"/>
    <hyperlink ref="B2100" r:id="rId_hyperlink_4197" tooltip="https://www.diodes.com/datasheet/download/ZXMP10A13FQ.pdf" display="https://www.diodes.com/datasheet/download/ZXMP10A13FQ.pdf"/>
    <hyperlink ref="C2100" r:id="rId_hyperlink_4198" tooltip="ZXMP10A13FQ" display="ZXMP10A13FQ"/>
    <hyperlink ref="B2101" r:id="rId_hyperlink_4199" tooltip="https://www.diodes.com/datasheet/download/ZXMP10A16K.pdf" display="https://www.diodes.com/datasheet/download/ZXMP10A16K.pdf"/>
    <hyperlink ref="C2101" r:id="rId_hyperlink_4200" tooltip="ZXMP10A16K" display="ZXMP10A16K"/>
    <hyperlink ref="B2102" r:id="rId_hyperlink_4201" tooltip="https://www.diodes.com/datasheet/download/ZXMP10A17E6.pdf" display="https://www.diodes.com/datasheet/download/ZXMP10A17E6.pdf"/>
    <hyperlink ref="C2102" r:id="rId_hyperlink_4202" tooltip="ZXMP10A17E6" display="ZXMP10A17E6"/>
    <hyperlink ref="B2103" r:id="rId_hyperlink_4203" tooltip="https://www.diodes.com/datasheet/download/ZXMP10A17E6Q.pdf" display="https://www.diodes.com/datasheet/download/ZXMP10A17E6Q.pdf"/>
    <hyperlink ref="C2103" r:id="rId_hyperlink_4204" tooltip="ZXMP10A17E6Q" display="ZXMP10A17E6Q"/>
    <hyperlink ref="B2104" r:id="rId_hyperlink_4205" tooltip="https://www.diodes.com/datasheet/download/ZXMP10A17G.pdf" display="https://www.diodes.com/datasheet/download/ZXMP10A17G.pdf"/>
    <hyperlink ref="C2104" r:id="rId_hyperlink_4206" tooltip="ZXMP10A17G" display="ZXMP10A17G"/>
    <hyperlink ref="B2105" r:id="rId_hyperlink_4207" tooltip="https://www.diodes.com/datasheet/download/ZXMP10A17GQ.pdf" display="https://www.diodes.com/datasheet/download/ZXMP10A17GQ.pdf"/>
    <hyperlink ref="C2105" r:id="rId_hyperlink_4208" tooltip="ZXMP10A17GQ" display="ZXMP10A17GQ"/>
    <hyperlink ref="B2106" r:id="rId_hyperlink_4209" tooltip="https://www.diodes.com/datasheet/download/ZXMP10A17K.pdf" display="https://www.diodes.com/datasheet/download/ZXMP10A17K.pdf"/>
    <hyperlink ref="C2106" r:id="rId_hyperlink_4210" tooltip="ZXMP10A17K" display="ZXMP10A17K"/>
    <hyperlink ref="B2107" r:id="rId_hyperlink_4211" tooltip="https://www.diodes.com/datasheet/download/ZXMP10A18G.pdf" display="https://www.diodes.com/datasheet/download/ZXMP10A18G.pdf"/>
    <hyperlink ref="C2107" r:id="rId_hyperlink_4212" tooltip="ZXMP10A18G" display="ZXMP10A18G"/>
    <hyperlink ref="B2108" r:id="rId_hyperlink_4213" tooltip="https://www.diodes.com/datasheet/download/ZXMP10A18K.pdf" display="https://www.diodes.com/datasheet/download/ZXMP10A18K.pdf"/>
    <hyperlink ref="C2108" r:id="rId_hyperlink_4214" tooltip="ZXMP10A18K" display="ZXMP10A18K"/>
    <hyperlink ref="B2109" r:id="rId_hyperlink_4215" tooltip="https://www.diodes.com/datasheet/download/ZXMP10A18KQ.pdf" display="https://www.diodes.com/datasheet/download/ZXMP10A18KQ.pdf"/>
    <hyperlink ref="C2109" r:id="rId_hyperlink_4216" tooltip="ZXMP10A18KQ" display="ZXMP10A18KQ"/>
    <hyperlink ref="B2110" r:id="rId_hyperlink_4217" tooltip="https://www.diodes.com/datasheet/download/ZXMP2120FF.pdf" display="https://www.diodes.com/datasheet/download/ZXMP2120FF.pdf"/>
    <hyperlink ref="C2110" r:id="rId_hyperlink_4218" tooltip="ZXMP2120FF" display="ZXMP2120FF"/>
    <hyperlink ref="B2111" r:id="rId_hyperlink_4219" tooltip="https://www.diodes.com/datasheet/download/ZXMP3A13F.pdf" display="https://www.diodes.com/datasheet/download/ZXMP3A13F.pdf"/>
    <hyperlink ref="C2111" r:id="rId_hyperlink_4220" tooltip="ZXMP3A13F" display="ZXMP3A13F"/>
    <hyperlink ref="B2112" r:id="rId_hyperlink_4221" tooltip="https://www.diodes.com/datasheet/download/ZXMP3A16DN8.pdf" display="https://www.diodes.com/datasheet/download/ZXMP3A16DN8.pdf"/>
    <hyperlink ref="C2112" r:id="rId_hyperlink_4222" tooltip="ZXMP3A16DN8" display="ZXMP3A16DN8"/>
    <hyperlink ref="B2113" r:id="rId_hyperlink_4223" tooltip="https://www.diodes.com/datasheet/download/ZXMP3A16G.pdf" display="https://www.diodes.com/datasheet/download/ZXMP3A16G.pdf"/>
    <hyperlink ref="C2113" r:id="rId_hyperlink_4224" tooltip="ZXMP3A16G" display="ZXMP3A16G"/>
    <hyperlink ref="B2114" r:id="rId_hyperlink_4225" tooltip="https://www.diodes.com/datasheet/download/ZXMP3A16N8.pdf" display="https://www.diodes.com/datasheet/download/ZXMP3A16N8.pdf"/>
    <hyperlink ref="C2114" r:id="rId_hyperlink_4226" tooltip="ZXMP3A16N8" display="ZXMP3A16N8"/>
    <hyperlink ref="B2115" r:id="rId_hyperlink_4227" tooltip="https://www.diodes.com/datasheet/download/ZXMP3A17DN8.pdf" display="https://www.diodes.com/datasheet/download/ZXMP3A17DN8.pdf"/>
    <hyperlink ref="C2115" r:id="rId_hyperlink_4228" tooltip="ZXMP3A17DN8" display="ZXMP3A17DN8"/>
    <hyperlink ref="B2116" r:id="rId_hyperlink_4229" tooltip="https://www.diodes.com/datasheet/download/ZXMP3A17E6.pdf" display="https://www.diodes.com/datasheet/download/ZXMP3A17E6.pdf"/>
    <hyperlink ref="C2116" r:id="rId_hyperlink_4230" tooltip="ZXMP3A17E6" display="ZXMP3A17E6"/>
    <hyperlink ref="B2117" r:id="rId_hyperlink_4231" tooltip="https://www.diodes.com/datasheet/download/ZXMP3F30FH.pdf" display="https://www.diodes.com/datasheet/download/ZXMP3F30FH.pdf"/>
    <hyperlink ref="C2117" r:id="rId_hyperlink_4232" tooltip="ZXMP3F30FH" display="ZXMP3F30FH"/>
    <hyperlink ref="B2118" r:id="rId_hyperlink_4233" tooltip="https://www.diodes.com/datasheet/download/ZXMP4A16G.pdf" display="https://www.diodes.com/datasheet/download/ZXMP4A16G.pdf"/>
    <hyperlink ref="C2118" r:id="rId_hyperlink_4234" tooltip="ZXMP4A16G" display="ZXMP4A16G"/>
    <hyperlink ref="B2119" r:id="rId_hyperlink_4235" tooltip="https://www.diodes.com/datasheet/download/ZXMP4A16GQ.pdf" display="https://www.diodes.com/datasheet/download/ZXMP4A16GQ.pdf"/>
    <hyperlink ref="C2119" r:id="rId_hyperlink_4236" tooltip="ZXMP4A16GQ" display="ZXMP4A16GQ"/>
    <hyperlink ref="B2120" r:id="rId_hyperlink_4237" tooltip="https://www.diodes.com/datasheet/download/ZXMP4A16K.pdf" display="https://www.diodes.com/datasheet/download/ZXMP4A16K.pdf"/>
    <hyperlink ref="C2120" r:id="rId_hyperlink_4238" tooltip="ZXMP4A16K" display="ZXMP4A16K"/>
    <hyperlink ref="B2121" r:id="rId_hyperlink_4239" tooltip="https://www.diodes.com/datasheet/download/ZXMP4A57E6.pdf" display="https://www.diodes.com/datasheet/download/ZXMP4A57E6.pdf"/>
    <hyperlink ref="C2121" r:id="rId_hyperlink_4240" tooltip="ZXMP4A57E6" display="ZXMP4A57E6"/>
    <hyperlink ref="B2122" r:id="rId_hyperlink_4241" tooltip="https://www.diodes.com/datasheet/download/ZXMP6A13F.pdf" display="https://www.diodes.com/datasheet/download/ZXMP6A13F.pdf"/>
    <hyperlink ref="C2122" r:id="rId_hyperlink_4242" tooltip="ZXMP6A13F" display="ZXMP6A13F"/>
    <hyperlink ref="B2123" r:id="rId_hyperlink_4243" tooltip="https://www.diodes.com/datasheet/download/ZXMP6A13FQ.pdf" display="https://www.diodes.com/datasheet/download/ZXMP6A13FQ.pdf"/>
    <hyperlink ref="C2123" r:id="rId_hyperlink_4244" tooltip="ZXMP6A13FQ" display="ZXMP6A13FQ"/>
    <hyperlink ref="B2124" r:id="rId_hyperlink_4245" tooltip="https://www.diodes.com/datasheet/download/ZXMP6A13G.pdf" display="https://www.diodes.com/datasheet/download/ZXMP6A13G.pdf"/>
    <hyperlink ref="C2124" r:id="rId_hyperlink_4246" tooltip="ZXMP6A13G" display="ZXMP6A13G"/>
    <hyperlink ref="B2125" r:id="rId_hyperlink_4247" tooltip="https://www.diodes.com/datasheet/download/ZXMP6A16DN8.pdf" display="https://www.diodes.com/datasheet/download/ZXMP6A16DN8.pdf"/>
    <hyperlink ref="C2125" r:id="rId_hyperlink_4248" tooltip="ZXMP6A16DN8" display="ZXMP6A16DN8"/>
    <hyperlink ref="B2126" r:id="rId_hyperlink_4249" tooltip="https://www.diodes.com/datasheet/download/ZXMP6A16DN8Q.pdf" display="https://www.diodes.com/datasheet/download/ZXMP6A16DN8Q.pdf"/>
    <hyperlink ref="C2126" r:id="rId_hyperlink_4250" tooltip="ZXMP6A16DN8Q" display="ZXMP6A16DN8Q"/>
    <hyperlink ref="B2127" r:id="rId_hyperlink_4251" tooltip="https://www.diodes.com/datasheet/download/ZXMP6A16K.pdf" display="https://www.diodes.com/datasheet/download/ZXMP6A16K.pdf"/>
    <hyperlink ref="C2127" r:id="rId_hyperlink_4252" tooltip="ZXMP6A16K" display="ZXMP6A16K"/>
    <hyperlink ref="B2128" r:id="rId_hyperlink_4253" tooltip="https://www.diodes.com/datasheet/download/ZXMP6A17DN8.pdf" display="https://www.diodes.com/datasheet/download/ZXMP6A17DN8.pdf"/>
    <hyperlink ref="C2128" r:id="rId_hyperlink_4254" tooltip="ZXMP6A17DN8" display="ZXMP6A17DN8"/>
    <hyperlink ref="B2129" r:id="rId_hyperlink_4255" tooltip="https://www.diodes.com/datasheet/download/ZXMP6A17E6.pdf" display="https://www.diodes.com/datasheet/download/ZXMP6A17E6.pdf"/>
    <hyperlink ref="C2129" r:id="rId_hyperlink_4256" tooltip="ZXMP6A17E6" display="ZXMP6A17E6"/>
    <hyperlink ref="B2130" r:id="rId_hyperlink_4257" tooltip="https://www.diodes.com/datasheet/download/ZXMP6A17E6Q.pdf" display="https://www.diodes.com/datasheet/download/ZXMP6A17E6Q.pdf"/>
    <hyperlink ref="C2130" r:id="rId_hyperlink_4258" tooltip="ZXMP6A17E6Q" display="ZXMP6A17E6Q"/>
    <hyperlink ref="B2131" r:id="rId_hyperlink_4259" tooltip="https://www.diodes.com/datasheet/download/ZXMP6A17G.pdf" display="https://www.diodes.com/datasheet/download/ZXMP6A17G.pdf"/>
    <hyperlink ref="C2131" r:id="rId_hyperlink_4260" tooltip="ZXMP6A17G" display="ZXMP6A17G"/>
    <hyperlink ref="B2132" r:id="rId_hyperlink_4261" tooltip="https://www.diodes.com/datasheet/download/ZXMP6A17GQ.pdf" display="https://www.diodes.com/datasheet/download/ZXMP6A17GQ.pdf"/>
    <hyperlink ref="C2132" r:id="rId_hyperlink_4262" tooltip="ZXMP6A17GQ" display="ZXMP6A17GQ"/>
    <hyperlink ref="B2133" r:id="rId_hyperlink_4263" tooltip="https://www.diodes.com/datasheet/download/ZXMP6A17K.pdf" display="https://www.diodes.com/datasheet/download/ZXMP6A17K.pdf"/>
    <hyperlink ref="C2133" r:id="rId_hyperlink_4264" tooltip="ZXMP6A17K" display="ZXMP6A17K"/>
    <hyperlink ref="B2134" r:id="rId_hyperlink_4265" tooltip="https://www.diodes.com/datasheet/download/ZXMP6A17N8.pdf" display="https://www.diodes.com/datasheet/download/ZXMP6A17N8.pdf"/>
    <hyperlink ref="C2134" r:id="rId_hyperlink_4266" tooltip="ZXMP6A17N8" display="ZXMP6A17N8"/>
    <hyperlink ref="B2135" r:id="rId_hyperlink_4267" tooltip="https://www.diodes.com/datasheet/download/ZXMP6A18DN8.pdf" display="https://www.diodes.com/datasheet/download/ZXMP6A18DN8.pdf"/>
    <hyperlink ref="C2135" r:id="rId_hyperlink_4268" tooltip="ZXMP6A18DN8" display="ZXMP6A18DN8"/>
    <hyperlink ref="B2136" r:id="rId_hyperlink_4269" tooltip="https://www.diodes.com/datasheet/download/ZXMP6A18K.pdf" display="https://www.diodes.com/datasheet/download/ZXMP6A18K.pdf"/>
    <hyperlink ref="C2136" r:id="rId_hyperlink_4270" tooltip="ZXMP6A18K" display="ZXMP6A18K"/>
    <hyperlink ref="B2137" r:id="rId_hyperlink_4271" tooltip="https://www.diodes.com/datasheet/download/ZXMP7A17G.pdf" display="https://www.diodes.com/datasheet/download/ZXMP7A17G.pdf"/>
    <hyperlink ref="C2137" r:id="rId_hyperlink_4272" tooltip="ZXMP7A17G" display="ZXMP7A17G"/>
    <hyperlink ref="B2138" r:id="rId_hyperlink_4273" tooltip="https://www.diodes.com/datasheet/download/ZXMP7A17GQ.pdf" display="https://www.diodes.com/datasheet/download/ZXMP7A17GQ.pdf"/>
    <hyperlink ref="C2138" r:id="rId_hyperlink_4274" tooltip="ZXMP7A17GQ" display="ZXMP7A17GQ"/>
    <hyperlink ref="B2139" r:id="rId_hyperlink_4275" tooltip="https://www.diodes.com/datasheet/download/ZXMP7A17K.pdf" display="https://www.diodes.com/datasheet/download/ZXMP7A17K.pdf"/>
    <hyperlink ref="C2139" r:id="rId_hyperlink_4276" tooltip="ZXMP7A17K" display="ZXMP7A17K"/>
    <hyperlink ref="B2140" r:id="rId_hyperlink_4277" tooltip="https://www.diodes.com/datasheet/download/ZXMP7A17KQ.pdf" display="https://www.diodes.com/datasheet/download/ZXMP7A17KQ.pdf"/>
    <hyperlink ref="C2140" r:id="rId_hyperlink_4278" tooltip="ZXMP7A17KQ" display="ZXMP7A17KQ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2024-10-19T10:04:37-05:00</dcterms:created>
  <dcterms:modified xsi:type="dcterms:W3CDTF">2024-10-19T10:04:37-05:00</dcterms:modified>
  <dc:title>Untitled Spreadsheet</dc:title>
  <dc:description/>
  <dc:subject/>
  <cp:keywords/>
  <cp:category/>
</cp:coreProperties>
</file>